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面试成绩" sheetId="1" r:id="rId1"/>
  </sheets>
  <definedNames>
    <definedName name="_xlnm.Print_Titles" localSheetId="0">面试成绩!$1:$2</definedName>
  </definedNames>
  <calcPr calcId="144525"/>
</workbook>
</file>

<file path=xl/sharedStrings.xml><?xml version="1.0" encoding="utf-8"?>
<sst xmlns="http://schemas.openxmlformats.org/spreadsheetml/2006/main" count="1110" uniqueCount="14">
  <si>
    <t>2023年宛城区教师招聘--面试成绩表</t>
  </si>
  <si>
    <t>准考证号</t>
  </si>
  <si>
    <t>岗位代码</t>
  </si>
  <si>
    <t>姓名</t>
  </si>
  <si>
    <t>面试室</t>
  </si>
  <si>
    <t>面试序号</t>
  </si>
  <si>
    <t>午别</t>
  </si>
  <si>
    <t>面试原始成绩</t>
  </si>
  <si>
    <t>加权系数</t>
  </si>
  <si>
    <t>面试成绩</t>
  </si>
  <si>
    <t>上午</t>
  </si>
  <si>
    <t>缺考</t>
  </si>
  <si>
    <t>放弃</t>
  </si>
  <si>
    <t>下午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</si>
</sst>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.5"/>
      <name val="Times New Roman"/>
      <charset val="0"/>
    </font>
    <font>
      <sz val="10.5"/>
      <name val="宋体"/>
      <charset val="0"/>
    </font>
    <font>
      <sz val="10.5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69"/>
  <sheetViews>
    <sheetView tabSelected="1" topLeftCell="A851" workbookViewId="0">
      <selection activeCell="P517" sqref="P517"/>
    </sheetView>
  </sheetViews>
  <sheetFormatPr defaultColWidth="9" defaultRowHeight="13.5"/>
  <cols>
    <col min="1" max="1" width="15.25" customWidth="1"/>
    <col min="4" max="4" width="7.25" customWidth="1"/>
    <col min="6" max="6" width="6.625" customWidth="1"/>
    <col min="7" max="7" width="12.625" style="2" customWidth="1"/>
    <col min="8" max="8" width="8.25" style="3" customWidth="1"/>
    <col min="9" max="9" width="10.375" style="2" customWidth="1"/>
  </cols>
  <sheetData>
    <row r="1" s="1" customFormat="1" ht="2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</row>
    <row r="3" s="1" customFormat="1" ht="23" customHeight="1" spans="1:9">
      <c r="A3" s="7" t="str">
        <f>"10010105022"</f>
        <v>10010105022</v>
      </c>
      <c r="B3" s="7" t="str">
        <f t="shared" ref="B3:B26" si="0">"1001"</f>
        <v>1001</v>
      </c>
      <c r="C3" s="7" t="str">
        <f>"冯晓"</f>
        <v>冯晓</v>
      </c>
      <c r="D3" s="7">
        <v>1</v>
      </c>
      <c r="E3" s="7">
        <v>1</v>
      </c>
      <c r="F3" s="7" t="s">
        <v>10</v>
      </c>
      <c r="G3" s="8">
        <v>81.82</v>
      </c>
      <c r="H3" s="7"/>
      <c r="I3" s="8">
        <v>81.82</v>
      </c>
    </row>
    <row r="4" s="1" customFormat="1" ht="23" customHeight="1" spans="1:9">
      <c r="A4" s="7" t="str">
        <f>"10010104805"</f>
        <v>10010104805</v>
      </c>
      <c r="B4" s="7" t="str">
        <f t="shared" si="0"/>
        <v>1001</v>
      </c>
      <c r="C4" s="7" t="str">
        <f>"郭丽萍"</f>
        <v>郭丽萍</v>
      </c>
      <c r="D4" s="7">
        <v>1</v>
      </c>
      <c r="E4" s="7">
        <v>2</v>
      </c>
      <c r="F4" s="7" t="s">
        <v>10</v>
      </c>
      <c r="G4" s="8">
        <v>82.74</v>
      </c>
      <c r="H4" s="7"/>
      <c r="I4" s="8">
        <v>82.74</v>
      </c>
    </row>
    <row r="5" s="1" customFormat="1" ht="23" customHeight="1" spans="1:9">
      <c r="A5" s="7" t="str">
        <f>"10010104921"</f>
        <v>10010104921</v>
      </c>
      <c r="B5" s="7" t="str">
        <f t="shared" si="0"/>
        <v>1001</v>
      </c>
      <c r="C5" s="7" t="str">
        <f>"孙雪"</f>
        <v>孙雪</v>
      </c>
      <c r="D5" s="7">
        <v>1</v>
      </c>
      <c r="E5" s="7">
        <v>3</v>
      </c>
      <c r="F5" s="7" t="s">
        <v>10</v>
      </c>
      <c r="G5" s="8">
        <v>83.82</v>
      </c>
      <c r="H5" s="7"/>
      <c r="I5" s="8">
        <v>83.82</v>
      </c>
    </row>
    <row r="6" s="1" customFormat="1" ht="23" customHeight="1" spans="1:9">
      <c r="A6" s="7" t="str">
        <f>"10010104910"</f>
        <v>10010104910</v>
      </c>
      <c r="B6" s="7" t="str">
        <f t="shared" si="0"/>
        <v>1001</v>
      </c>
      <c r="C6" s="7" t="str">
        <f>"范利君"</f>
        <v>范利君</v>
      </c>
      <c r="D6" s="7">
        <v>1</v>
      </c>
      <c r="E6" s="7">
        <v>4</v>
      </c>
      <c r="F6" s="7" t="s">
        <v>10</v>
      </c>
      <c r="G6" s="8">
        <v>84.3</v>
      </c>
      <c r="H6" s="7"/>
      <c r="I6" s="8">
        <v>84.3</v>
      </c>
    </row>
    <row r="7" s="1" customFormat="1" ht="23" customHeight="1" spans="1:9">
      <c r="A7" s="7" t="str">
        <f>"10010105219"</f>
        <v>10010105219</v>
      </c>
      <c r="B7" s="7" t="str">
        <f t="shared" si="0"/>
        <v>1001</v>
      </c>
      <c r="C7" s="7" t="str">
        <f>"魏本雪"</f>
        <v>魏本雪</v>
      </c>
      <c r="D7" s="7">
        <v>1</v>
      </c>
      <c r="E7" s="7">
        <v>5</v>
      </c>
      <c r="F7" s="7" t="s">
        <v>10</v>
      </c>
      <c r="G7" s="8">
        <v>83.52</v>
      </c>
      <c r="H7" s="7"/>
      <c r="I7" s="8">
        <v>83.52</v>
      </c>
    </row>
    <row r="8" s="1" customFormat="1" ht="23" customHeight="1" spans="1:9">
      <c r="A8" s="7" t="str">
        <f>"10010105011"</f>
        <v>10010105011</v>
      </c>
      <c r="B8" s="7" t="str">
        <f t="shared" si="0"/>
        <v>1001</v>
      </c>
      <c r="C8" s="7" t="str">
        <f>"王佳静"</f>
        <v>王佳静</v>
      </c>
      <c r="D8" s="7">
        <v>1</v>
      </c>
      <c r="E8" s="7">
        <v>6</v>
      </c>
      <c r="F8" s="7" t="s">
        <v>10</v>
      </c>
      <c r="G8" s="8">
        <v>82.2</v>
      </c>
      <c r="H8" s="7"/>
      <c r="I8" s="8">
        <v>82.2</v>
      </c>
    </row>
    <row r="9" s="1" customFormat="1" ht="23" customHeight="1" spans="1:9">
      <c r="A9" s="7" t="str">
        <f>"10010105114"</f>
        <v>10010105114</v>
      </c>
      <c r="B9" s="7" t="str">
        <f t="shared" si="0"/>
        <v>1001</v>
      </c>
      <c r="C9" s="7" t="str">
        <f>"钟姝"</f>
        <v>钟姝</v>
      </c>
      <c r="D9" s="7">
        <v>1</v>
      </c>
      <c r="E9" s="7">
        <v>7</v>
      </c>
      <c r="F9" s="7" t="s">
        <v>10</v>
      </c>
      <c r="G9" s="8">
        <v>83.1</v>
      </c>
      <c r="H9" s="7"/>
      <c r="I9" s="8">
        <v>83.1</v>
      </c>
    </row>
    <row r="10" s="1" customFormat="1" ht="23" customHeight="1" spans="1:9">
      <c r="A10" s="7" t="str">
        <f>"10010105005"</f>
        <v>10010105005</v>
      </c>
      <c r="B10" s="7" t="str">
        <f t="shared" si="0"/>
        <v>1001</v>
      </c>
      <c r="C10" s="7" t="str">
        <f>"林苗苗"</f>
        <v>林苗苗</v>
      </c>
      <c r="D10" s="7">
        <v>1</v>
      </c>
      <c r="E10" s="7">
        <v>8</v>
      </c>
      <c r="F10" s="7" t="s">
        <v>10</v>
      </c>
      <c r="G10" s="8">
        <v>82.3</v>
      </c>
      <c r="H10" s="7"/>
      <c r="I10" s="8">
        <v>82.3</v>
      </c>
    </row>
    <row r="11" s="1" customFormat="1" ht="23" customHeight="1" spans="1:9">
      <c r="A11" s="7" t="str">
        <f>"10010105313"</f>
        <v>10010105313</v>
      </c>
      <c r="B11" s="7" t="str">
        <f t="shared" si="0"/>
        <v>1001</v>
      </c>
      <c r="C11" s="7" t="str">
        <f>"杨一鸣"</f>
        <v>杨一鸣</v>
      </c>
      <c r="D11" s="7">
        <v>1</v>
      </c>
      <c r="E11" s="7">
        <v>9</v>
      </c>
      <c r="F11" s="7" t="s">
        <v>10</v>
      </c>
      <c r="G11" s="8">
        <v>82.62</v>
      </c>
      <c r="H11" s="7"/>
      <c r="I11" s="8">
        <v>82.62</v>
      </c>
    </row>
    <row r="12" s="1" customFormat="1" ht="23" customHeight="1" spans="1:9">
      <c r="A12" s="7" t="str">
        <f>"10010105023"</f>
        <v>10010105023</v>
      </c>
      <c r="B12" s="7" t="str">
        <f t="shared" si="0"/>
        <v>1001</v>
      </c>
      <c r="C12" s="7" t="str">
        <f>"吕安"</f>
        <v>吕安</v>
      </c>
      <c r="D12" s="7">
        <v>1</v>
      </c>
      <c r="E12" s="7">
        <v>10</v>
      </c>
      <c r="F12" s="7" t="s">
        <v>10</v>
      </c>
      <c r="G12" s="8">
        <v>83.22</v>
      </c>
      <c r="H12" s="7"/>
      <c r="I12" s="8">
        <v>83.22</v>
      </c>
    </row>
    <row r="13" s="1" customFormat="1" ht="23" customHeight="1" spans="1:9">
      <c r="A13" s="7" t="str">
        <f>"10010105126"</f>
        <v>10010105126</v>
      </c>
      <c r="B13" s="7" t="str">
        <f t="shared" si="0"/>
        <v>1001</v>
      </c>
      <c r="C13" s="7" t="str">
        <f>"王燕飞"</f>
        <v>王燕飞</v>
      </c>
      <c r="D13" s="7">
        <v>1</v>
      </c>
      <c r="E13" s="7">
        <v>11</v>
      </c>
      <c r="F13" s="7" t="s">
        <v>10</v>
      </c>
      <c r="G13" s="8">
        <v>82.5</v>
      </c>
      <c r="H13" s="7"/>
      <c r="I13" s="8">
        <v>82.5</v>
      </c>
    </row>
    <row r="14" s="1" customFormat="1" ht="23" customHeight="1" spans="1:9">
      <c r="A14" s="7" t="str">
        <f>"10010105327"</f>
        <v>10010105327</v>
      </c>
      <c r="B14" s="7" t="str">
        <f t="shared" si="0"/>
        <v>1001</v>
      </c>
      <c r="C14" s="7" t="str">
        <f>"赵慧清"</f>
        <v>赵慧清</v>
      </c>
      <c r="D14" s="7">
        <v>1</v>
      </c>
      <c r="E14" s="7">
        <v>12</v>
      </c>
      <c r="F14" s="7" t="s">
        <v>10</v>
      </c>
      <c r="G14" s="8">
        <v>81.72</v>
      </c>
      <c r="H14" s="7"/>
      <c r="I14" s="8">
        <v>81.72</v>
      </c>
    </row>
    <row r="15" s="1" customFormat="1" ht="23" customHeight="1" spans="1:9">
      <c r="A15" s="7" t="str">
        <f>"10010105302"</f>
        <v>10010105302</v>
      </c>
      <c r="B15" s="7" t="str">
        <f t="shared" si="0"/>
        <v>1001</v>
      </c>
      <c r="C15" s="7" t="str">
        <f>"楚莹莹"</f>
        <v>楚莹莹</v>
      </c>
      <c r="D15" s="7">
        <v>1</v>
      </c>
      <c r="E15" s="7">
        <v>13</v>
      </c>
      <c r="F15" s="7" t="s">
        <v>10</v>
      </c>
      <c r="G15" s="8">
        <v>81.76</v>
      </c>
      <c r="H15" s="7"/>
      <c r="I15" s="8">
        <v>81.76</v>
      </c>
    </row>
    <row r="16" s="1" customFormat="1" ht="23" customHeight="1" spans="1:9">
      <c r="A16" s="7" t="str">
        <f>"10010105124"</f>
        <v>10010105124</v>
      </c>
      <c r="B16" s="7" t="str">
        <f t="shared" si="0"/>
        <v>1001</v>
      </c>
      <c r="C16" s="7" t="str">
        <f>"吴倩文"</f>
        <v>吴倩文</v>
      </c>
      <c r="D16" s="7">
        <v>1</v>
      </c>
      <c r="E16" s="7">
        <v>14</v>
      </c>
      <c r="F16" s="7" t="s">
        <v>10</v>
      </c>
      <c r="G16" s="8">
        <v>83.46</v>
      </c>
      <c r="H16" s="7"/>
      <c r="I16" s="8">
        <v>83.46</v>
      </c>
    </row>
    <row r="17" s="1" customFormat="1" ht="23" customHeight="1" spans="1:9">
      <c r="A17" s="7" t="str">
        <f>"10010104825"</f>
        <v>10010104825</v>
      </c>
      <c r="B17" s="7" t="str">
        <f t="shared" si="0"/>
        <v>1001</v>
      </c>
      <c r="C17" s="7" t="str">
        <f>"陈鑫"</f>
        <v>陈鑫</v>
      </c>
      <c r="D17" s="7">
        <v>1</v>
      </c>
      <c r="E17" s="7">
        <v>15</v>
      </c>
      <c r="F17" s="7" t="s">
        <v>10</v>
      </c>
      <c r="G17" s="8">
        <v>82.8</v>
      </c>
      <c r="H17" s="7"/>
      <c r="I17" s="8">
        <v>82.8</v>
      </c>
    </row>
    <row r="18" s="1" customFormat="1" ht="23" customHeight="1" spans="1:9">
      <c r="A18" s="7" t="str">
        <f>"10010105405"</f>
        <v>10010105405</v>
      </c>
      <c r="B18" s="7" t="str">
        <f t="shared" si="0"/>
        <v>1001</v>
      </c>
      <c r="C18" s="7" t="str">
        <f>"岳志华"</f>
        <v>岳志华</v>
      </c>
      <c r="D18" s="7">
        <v>1</v>
      </c>
      <c r="E18" s="7">
        <v>16</v>
      </c>
      <c r="F18" s="7" t="s">
        <v>10</v>
      </c>
      <c r="G18" s="8">
        <v>83.98</v>
      </c>
      <c r="H18" s="7"/>
      <c r="I18" s="8">
        <v>83.98</v>
      </c>
    </row>
    <row r="19" s="1" customFormat="1" ht="23" customHeight="1" spans="1:9">
      <c r="A19" s="7" t="str">
        <f>"10010105424"</f>
        <v>10010105424</v>
      </c>
      <c r="B19" s="7" t="str">
        <f t="shared" si="0"/>
        <v>1001</v>
      </c>
      <c r="C19" s="7" t="str">
        <f>"张品"</f>
        <v>张品</v>
      </c>
      <c r="D19" s="7">
        <v>1</v>
      </c>
      <c r="E19" s="7">
        <v>17</v>
      </c>
      <c r="F19" s="7" t="s">
        <v>10</v>
      </c>
      <c r="G19" s="8">
        <v>83.34</v>
      </c>
      <c r="H19" s="7"/>
      <c r="I19" s="8">
        <v>83.34</v>
      </c>
    </row>
    <row r="20" s="1" customFormat="1" ht="23" customHeight="1" spans="1:9">
      <c r="A20" s="7" t="str">
        <f>"10010105125"</f>
        <v>10010105125</v>
      </c>
      <c r="B20" s="7" t="str">
        <f t="shared" si="0"/>
        <v>1001</v>
      </c>
      <c r="C20" s="7" t="str">
        <f>"封仁慧"</f>
        <v>封仁慧</v>
      </c>
      <c r="D20" s="7">
        <v>1</v>
      </c>
      <c r="E20" s="7">
        <v>18</v>
      </c>
      <c r="F20" s="7" t="s">
        <v>10</v>
      </c>
      <c r="G20" s="8">
        <v>83.28</v>
      </c>
      <c r="H20" s="7"/>
      <c r="I20" s="8">
        <v>83.28</v>
      </c>
    </row>
    <row r="21" s="1" customFormat="1" ht="23" customHeight="1" spans="1:9">
      <c r="A21" s="7" t="str">
        <f>"10010105215"</f>
        <v>10010105215</v>
      </c>
      <c r="B21" s="7" t="str">
        <f t="shared" si="0"/>
        <v>1001</v>
      </c>
      <c r="C21" s="7" t="str">
        <f>"刘秋平"</f>
        <v>刘秋平</v>
      </c>
      <c r="D21" s="7">
        <v>1</v>
      </c>
      <c r="E21" s="7">
        <v>19</v>
      </c>
      <c r="F21" s="7" t="s">
        <v>10</v>
      </c>
      <c r="G21" s="8">
        <v>82.78</v>
      </c>
      <c r="H21" s="7"/>
      <c r="I21" s="8">
        <v>82.78</v>
      </c>
    </row>
    <row r="22" s="1" customFormat="1" ht="23" customHeight="1" spans="1:9">
      <c r="A22" s="7" t="str">
        <f>"10010105303"</f>
        <v>10010105303</v>
      </c>
      <c r="B22" s="7" t="str">
        <f t="shared" si="0"/>
        <v>1001</v>
      </c>
      <c r="C22" s="7" t="str">
        <f>"张影子"</f>
        <v>张影子</v>
      </c>
      <c r="D22" s="7">
        <v>1</v>
      </c>
      <c r="E22" s="7">
        <v>20</v>
      </c>
      <c r="F22" s="7" t="s">
        <v>10</v>
      </c>
      <c r="G22" s="8">
        <v>83.08</v>
      </c>
      <c r="H22" s="7"/>
      <c r="I22" s="8">
        <v>83.08</v>
      </c>
    </row>
    <row r="23" s="1" customFormat="1" ht="23" customHeight="1" spans="1:9">
      <c r="A23" s="7" t="str">
        <f>"10010104912"</f>
        <v>10010104912</v>
      </c>
      <c r="B23" s="7" t="str">
        <f t="shared" si="0"/>
        <v>1001</v>
      </c>
      <c r="C23" s="7" t="str">
        <f>"张萌萌"</f>
        <v>张萌萌</v>
      </c>
      <c r="D23" s="7">
        <v>1</v>
      </c>
      <c r="E23" s="7">
        <v>21</v>
      </c>
      <c r="F23" s="7" t="s">
        <v>10</v>
      </c>
      <c r="G23" s="8">
        <v>84.42</v>
      </c>
      <c r="H23" s="7"/>
      <c r="I23" s="8">
        <v>84.42</v>
      </c>
    </row>
    <row r="24" s="1" customFormat="1" ht="23" customHeight="1" spans="1:9">
      <c r="A24" s="7" t="str">
        <f>"10010105207"</f>
        <v>10010105207</v>
      </c>
      <c r="B24" s="7" t="str">
        <f t="shared" si="0"/>
        <v>1001</v>
      </c>
      <c r="C24" s="7" t="str">
        <f>"牛清青"</f>
        <v>牛清青</v>
      </c>
      <c r="D24" s="7">
        <v>1</v>
      </c>
      <c r="E24" s="7" t="s">
        <v>11</v>
      </c>
      <c r="F24" s="7" t="s">
        <v>10</v>
      </c>
      <c r="G24" s="8" t="s">
        <v>11</v>
      </c>
      <c r="H24" s="7"/>
      <c r="I24" s="8" t="s">
        <v>11</v>
      </c>
    </row>
    <row r="25" s="1" customFormat="1" ht="23" customHeight="1" spans="1:9">
      <c r="A25" s="7" t="str">
        <f>"10010105213"</f>
        <v>10010105213</v>
      </c>
      <c r="B25" s="7" t="str">
        <f t="shared" si="0"/>
        <v>1001</v>
      </c>
      <c r="C25" s="7" t="str">
        <f>"张婉婷"</f>
        <v>张婉婷</v>
      </c>
      <c r="D25" s="7">
        <v>1</v>
      </c>
      <c r="E25" s="7" t="s">
        <v>11</v>
      </c>
      <c r="F25" s="7" t="s">
        <v>10</v>
      </c>
      <c r="G25" s="8" t="s">
        <v>11</v>
      </c>
      <c r="H25" s="7"/>
      <c r="I25" s="8" t="s">
        <v>11</v>
      </c>
    </row>
    <row r="26" s="1" customFormat="1" ht="23" customHeight="1" spans="1:9">
      <c r="A26" s="7" t="str">
        <f>"10010105502"</f>
        <v>10010105502</v>
      </c>
      <c r="B26" s="7" t="str">
        <f t="shared" si="0"/>
        <v>1001</v>
      </c>
      <c r="C26" s="7" t="str">
        <f>"罗盼盼"</f>
        <v>罗盼盼</v>
      </c>
      <c r="D26" s="7">
        <v>1</v>
      </c>
      <c r="E26" s="7" t="s">
        <v>11</v>
      </c>
      <c r="F26" s="7" t="s">
        <v>10</v>
      </c>
      <c r="G26" s="8" t="s">
        <v>11</v>
      </c>
      <c r="H26" s="7"/>
      <c r="I26" s="8" t="s">
        <v>11</v>
      </c>
    </row>
    <row r="27" s="1" customFormat="1" ht="23" customHeight="1" spans="1:9">
      <c r="A27" s="7" t="str">
        <f>"20010310128"</f>
        <v>20010310128</v>
      </c>
      <c r="B27" s="7" t="str">
        <f t="shared" ref="B27:B56" si="1">"2001"</f>
        <v>2001</v>
      </c>
      <c r="C27" s="7" t="str">
        <f>"马雨晴"</f>
        <v>马雨晴</v>
      </c>
      <c r="D27" s="7">
        <v>2</v>
      </c>
      <c r="E27" s="7">
        <v>1</v>
      </c>
      <c r="F27" s="7" t="s">
        <v>10</v>
      </c>
      <c r="G27" s="8">
        <v>83.64</v>
      </c>
      <c r="H27" s="7"/>
      <c r="I27" s="8">
        <v>83.64</v>
      </c>
    </row>
    <row r="28" s="1" customFormat="1" ht="23" customHeight="1" spans="1:9">
      <c r="A28" s="7" t="str">
        <f>"20010311514"</f>
        <v>20010311514</v>
      </c>
      <c r="B28" s="7" t="str">
        <f t="shared" si="1"/>
        <v>2001</v>
      </c>
      <c r="C28" s="7" t="str">
        <f>"郭歌"</f>
        <v>郭歌</v>
      </c>
      <c r="D28" s="7">
        <v>2</v>
      </c>
      <c r="E28" s="7">
        <v>2</v>
      </c>
      <c r="F28" s="7" t="s">
        <v>10</v>
      </c>
      <c r="G28" s="8">
        <v>83.36</v>
      </c>
      <c r="H28" s="7"/>
      <c r="I28" s="8">
        <v>83.36</v>
      </c>
    </row>
    <row r="29" s="1" customFormat="1" ht="23" customHeight="1" spans="1:9">
      <c r="A29" s="7" t="str">
        <f>"20010311717"</f>
        <v>20010311717</v>
      </c>
      <c r="B29" s="7" t="str">
        <f t="shared" si="1"/>
        <v>2001</v>
      </c>
      <c r="C29" s="7" t="str">
        <f>"王淳"</f>
        <v>王淳</v>
      </c>
      <c r="D29" s="7">
        <v>2</v>
      </c>
      <c r="E29" s="7">
        <v>3</v>
      </c>
      <c r="F29" s="7" t="s">
        <v>10</v>
      </c>
      <c r="G29" s="8">
        <v>84.38</v>
      </c>
      <c r="H29" s="7"/>
      <c r="I29" s="8">
        <v>84.38</v>
      </c>
    </row>
    <row r="30" s="1" customFormat="1" ht="23" customHeight="1" spans="1:9">
      <c r="A30" s="7" t="str">
        <f>"20010311418"</f>
        <v>20010311418</v>
      </c>
      <c r="B30" s="7" t="str">
        <f t="shared" si="1"/>
        <v>2001</v>
      </c>
      <c r="C30" s="7" t="str">
        <f>"王蕾"</f>
        <v>王蕾</v>
      </c>
      <c r="D30" s="7">
        <v>2</v>
      </c>
      <c r="E30" s="7">
        <v>4</v>
      </c>
      <c r="F30" s="7" t="s">
        <v>10</v>
      </c>
      <c r="G30" s="8">
        <v>82.54</v>
      </c>
      <c r="H30" s="7"/>
      <c r="I30" s="8">
        <v>82.54</v>
      </c>
    </row>
    <row r="31" s="1" customFormat="1" ht="23" customHeight="1" spans="1:9">
      <c r="A31" s="7" t="str">
        <f>"20010309823"</f>
        <v>20010309823</v>
      </c>
      <c r="B31" s="7" t="str">
        <f t="shared" si="1"/>
        <v>2001</v>
      </c>
      <c r="C31" s="7" t="str">
        <f>"刘梦瑶"</f>
        <v>刘梦瑶</v>
      </c>
      <c r="D31" s="7">
        <v>2</v>
      </c>
      <c r="E31" s="7">
        <v>5</v>
      </c>
      <c r="F31" s="7" t="s">
        <v>10</v>
      </c>
      <c r="G31" s="8">
        <v>83.18</v>
      </c>
      <c r="H31" s="7"/>
      <c r="I31" s="8">
        <v>83.18</v>
      </c>
    </row>
    <row r="32" s="1" customFormat="1" ht="23" customHeight="1" spans="1:9">
      <c r="A32" s="7" t="str">
        <f>"20010310501"</f>
        <v>20010310501</v>
      </c>
      <c r="B32" s="7" t="str">
        <f t="shared" si="1"/>
        <v>2001</v>
      </c>
      <c r="C32" s="7" t="str">
        <f>"高紫燕"</f>
        <v>高紫燕</v>
      </c>
      <c r="D32" s="7">
        <v>2</v>
      </c>
      <c r="E32" s="7">
        <v>6</v>
      </c>
      <c r="F32" s="7" t="s">
        <v>10</v>
      </c>
      <c r="G32" s="8">
        <v>83.64</v>
      </c>
      <c r="H32" s="7"/>
      <c r="I32" s="8">
        <v>83.64</v>
      </c>
    </row>
    <row r="33" s="1" customFormat="1" ht="23" customHeight="1" spans="1:9">
      <c r="A33" s="7" t="str">
        <f>"20010311018"</f>
        <v>20010311018</v>
      </c>
      <c r="B33" s="7" t="str">
        <f t="shared" si="1"/>
        <v>2001</v>
      </c>
      <c r="C33" s="7" t="str">
        <f>"王宝珠"</f>
        <v>王宝珠</v>
      </c>
      <c r="D33" s="7">
        <v>2</v>
      </c>
      <c r="E33" s="7">
        <v>7</v>
      </c>
      <c r="F33" s="7" t="s">
        <v>10</v>
      </c>
      <c r="G33" s="8">
        <v>81.86</v>
      </c>
      <c r="H33" s="7"/>
      <c r="I33" s="8">
        <v>81.86</v>
      </c>
    </row>
    <row r="34" s="1" customFormat="1" ht="23" customHeight="1" spans="1:9">
      <c r="A34" s="7" t="str">
        <f>"20010310223"</f>
        <v>20010310223</v>
      </c>
      <c r="B34" s="7" t="str">
        <f t="shared" si="1"/>
        <v>2001</v>
      </c>
      <c r="C34" s="7" t="str">
        <f>"时雅茹"</f>
        <v>时雅茹</v>
      </c>
      <c r="D34" s="7">
        <v>2</v>
      </c>
      <c r="E34" s="7">
        <v>8</v>
      </c>
      <c r="F34" s="7" t="s">
        <v>10</v>
      </c>
      <c r="G34" s="8">
        <v>83.94</v>
      </c>
      <c r="H34" s="7"/>
      <c r="I34" s="8">
        <v>83.94</v>
      </c>
    </row>
    <row r="35" s="1" customFormat="1" ht="23" customHeight="1" spans="1:9">
      <c r="A35" s="7" t="str">
        <f>"20010310712"</f>
        <v>20010310712</v>
      </c>
      <c r="B35" s="7" t="str">
        <f t="shared" si="1"/>
        <v>2001</v>
      </c>
      <c r="C35" s="7" t="str">
        <f>"李鹏佳"</f>
        <v>李鹏佳</v>
      </c>
      <c r="D35" s="7">
        <v>2</v>
      </c>
      <c r="E35" s="7">
        <v>9</v>
      </c>
      <c r="F35" s="7" t="s">
        <v>10</v>
      </c>
      <c r="G35" s="8">
        <v>84.64</v>
      </c>
      <c r="H35" s="7"/>
      <c r="I35" s="8">
        <v>84.64</v>
      </c>
    </row>
    <row r="36" s="1" customFormat="1" ht="23" customHeight="1" spans="1:9">
      <c r="A36" s="7" t="str">
        <f>"20010311109"</f>
        <v>20010311109</v>
      </c>
      <c r="B36" s="7" t="str">
        <f t="shared" si="1"/>
        <v>2001</v>
      </c>
      <c r="C36" s="7" t="str">
        <f>"张颖澳"</f>
        <v>张颖澳</v>
      </c>
      <c r="D36" s="7">
        <v>2</v>
      </c>
      <c r="E36" s="7">
        <v>10</v>
      </c>
      <c r="F36" s="7" t="s">
        <v>10</v>
      </c>
      <c r="G36" s="8">
        <v>83.9</v>
      </c>
      <c r="H36" s="7"/>
      <c r="I36" s="8">
        <v>83.9</v>
      </c>
    </row>
    <row r="37" s="1" customFormat="1" ht="23" customHeight="1" spans="1:9">
      <c r="A37" s="7" t="str">
        <f>"20010310505"</f>
        <v>20010310505</v>
      </c>
      <c r="B37" s="7" t="str">
        <f t="shared" si="1"/>
        <v>2001</v>
      </c>
      <c r="C37" s="7" t="str">
        <f>"吴秀娟"</f>
        <v>吴秀娟</v>
      </c>
      <c r="D37" s="7">
        <v>2</v>
      </c>
      <c r="E37" s="7">
        <v>11</v>
      </c>
      <c r="F37" s="7" t="s">
        <v>10</v>
      </c>
      <c r="G37" s="8">
        <v>82.84</v>
      </c>
      <c r="H37" s="7"/>
      <c r="I37" s="8">
        <v>82.84</v>
      </c>
    </row>
    <row r="38" s="1" customFormat="1" ht="23" customHeight="1" spans="1:9">
      <c r="A38" s="7" t="str">
        <f>"20010310129"</f>
        <v>20010310129</v>
      </c>
      <c r="B38" s="7" t="str">
        <f t="shared" si="1"/>
        <v>2001</v>
      </c>
      <c r="C38" s="7" t="str">
        <f>" 张华丽"</f>
        <v> 张华丽</v>
      </c>
      <c r="D38" s="7">
        <v>2</v>
      </c>
      <c r="E38" s="7">
        <v>12</v>
      </c>
      <c r="F38" s="7" t="s">
        <v>10</v>
      </c>
      <c r="G38" s="8">
        <v>83.62</v>
      </c>
      <c r="H38" s="7"/>
      <c r="I38" s="8">
        <v>83.62</v>
      </c>
    </row>
    <row r="39" s="1" customFormat="1" ht="23" customHeight="1" spans="1:9">
      <c r="A39" s="7" t="str">
        <f>"20010310312"</f>
        <v>20010310312</v>
      </c>
      <c r="B39" s="7" t="str">
        <f t="shared" si="1"/>
        <v>2001</v>
      </c>
      <c r="C39" s="7" t="str">
        <f>"赵依凡"</f>
        <v>赵依凡</v>
      </c>
      <c r="D39" s="7">
        <v>2</v>
      </c>
      <c r="E39" s="7">
        <v>13</v>
      </c>
      <c r="F39" s="7" t="s">
        <v>10</v>
      </c>
      <c r="G39" s="8">
        <v>83.82</v>
      </c>
      <c r="H39" s="7"/>
      <c r="I39" s="8">
        <v>83.82</v>
      </c>
    </row>
    <row r="40" s="1" customFormat="1" ht="23" customHeight="1" spans="1:9">
      <c r="A40" s="7" t="str">
        <f>"20010311115"</f>
        <v>20010311115</v>
      </c>
      <c r="B40" s="7" t="str">
        <f t="shared" si="1"/>
        <v>2001</v>
      </c>
      <c r="C40" s="7" t="str">
        <f>"胡守菊"</f>
        <v>胡守菊</v>
      </c>
      <c r="D40" s="7">
        <v>2</v>
      </c>
      <c r="E40" s="7">
        <v>14</v>
      </c>
      <c r="F40" s="7" t="s">
        <v>10</v>
      </c>
      <c r="G40" s="8">
        <v>83.56</v>
      </c>
      <c r="H40" s="7"/>
      <c r="I40" s="8">
        <v>83.56</v>
      </c>
    </row>
    <row r="41" s="1" customFormat="1" ht="23" customHeight="1" spans="1:9">
      <c r="A41" s="7" t="str">
        <f>"20010311126"</f>
        <v>20010311126</v>
      </c>
      <c r="B41" s="7" t="str">
        <f t="shared" si="1"/>
        <v>2001</v>
      </c>
      <c r="C41" s="7" t="str">
        <f>"张甜"</f>
        <v>张甜</v>
      </c>
      <c r="D41" s="7">
        <v>2</v>
      </c>
      <c r="E41" s="7">
        <v>15</v>
      </c>
      <c r="F41" s="7" t="s">
        <v>10</v>
      </c>
      <c r="G41" s="8">
        <v>83.22</v>
      </c>
      <c r="H41" s="7"/>
      <c r="I41" s="8">
        <v>83.22</v>
      </c>
    </row>
    <row r="42" s="1" customFormat="1" ht="23" customHeight="1" spans="1:9">
      <c r="A42" s="7" t="str">
        <f>"20010310326"</f>
        <v>20010310326</v>
      </c>
      <c r="B42" s="7" t="str">
        <f t="shared" si="1"/>
        <v>2001</v>
      </c>
      <c r="C42" s="7" t="str">
        <f>"王新"</f>
        <v>王新</v>
      </c>
      <c r="D42" s="7">
        <v>2</v>
      </c>
      <c r="E42" s="7">
        <v>16</v>
      </c>
      <c r="F42" s="7" t="s">
        <v>10</v>
      </c>
      <c r="G42" s="8">
        <v>84.16</v>
      </c>
      <c r="H42" s="7"/>
      <c r="I42" s="8">
        <v>84.16</v>
      </c>
    </row>
    <row r="43" s="1" customFormat="1" ht="23" customHeight="1" spans="1:9">
      <c r="A43" s="7" t="str">
        <f>"20010310705"</f>
        <v>20010310705</v>
      </c>
      <c r="B43" s="7" t="str">
        <f t="shared" si="1"/>
        <v>2001</v>
      </c>
      <c r="C43" s="7" t="str">
        <f>"宋汶格"</f>
        <v>宋汶格</v>
      </c>
      <c r="D43" s="7">
        <v>2</v>
      </c>
      <c r="E43" s="7">
        <v>17</v>
      </c>
      <c r="F43" s="7" t="s">
        <v>10</v>
      </c>
      <c r="G43" s="8">
        <v>84.34</v>
      </c>
      <c r="H43" s="7"/>
      <c r="I43" s="8">
        <v>84.34</v>
      </c>
    </row>
    <row r="44" s="1" customFormat="1" ht="23" customHeight="1" spans="1:9">
      <c r="A44" s="7" t="str">
        <f>"20010310425"</f>
        <v>20010310425</v>
      </c>
      <c r="B44" s="7" t="str">
        <f t="shared" si="1"/>
        <v>2001</v>
      </c>
      <c r="C44" s="7" t="str">
        <f>"李想"</f>
        <v>李想</v>
      </c>
      <c r="D44" s="7">
        <v>2</v>
      </c>
      <c r="E44" s="7">
        <v>18</v>
      </c>
      <c r="F44" s="7" t="s">
        <v>10</v>
      </c>
      <c r="G44" s="8">
        <v>82.92</v>
      </c>
      <c r="H44" s="7"/>
      <c r="I44" s="8">
        <v>82.92</v>
      </c>
    </row>
    <row r="45" s="1" customFormat="1" ht="23" customHeight="1" spans="1:9">
      <c r="A45" s="7" t="str">
        <f>"20010311409"</f>
        <v>20010311409</v>
      </c>
      <c r="B45" s="7" t="str">
        <f t="shared" si="1"/>
        <v>2001</v>
      </c>
      <c r="C45" s="7" t="str">
        <f>"党亚丽"</f>
        <v>党亚丽</v>
      </c>
      <c r="D45" s="7">
        <v>2</v>
      </c>
      <c r="E45" s="7">
        <v>19</v>
      </c>
      <c r="F45" s="7" t="s">
        <v>10</v>
      </c>
      <c r="G45" s="8">
        <v>83.4</v>
      </c>
      <c r="H45" s="7"/>
      <c r="I45" s="8">
        <v>83.4</v>
      </c>
    </row>
    <row r="46" s="1" customFormat="1" ht="23" customHeight="1" spans="1:9">
      <c r="A46" s="7" t="str">
        <f>"20010310909"</f>
        <v>20010310909</v>
      </c>
      <c r="B46" s="7" t="str">
        <f t="shared" si="1"/>
        <v>2001</v>
      </c>
      <c r="C46" s="7" t="str">
        <f>"马继琳"</f>
        <v>马继琳</v>
      </c>
      <c r="D46" s="7">
        <v>2</v>
      </c>
      <c r="E46" s="7">
        <v>20</v>
      </c>
      <c r="F46" s="7" t="s">
        <v>10</v>
      </c>
      <c r="G46" s="8">
        <v>82.98</v>
      </c>
      <c r="H46" s="7"/>
      <c r="I46" s="8">
        <v>82.98</v>
      </c>
    </row>
    <row r="47" s="1" customFormat="1" ht="23" customHeight="1" spans="1:9">
      <c r="A47" s="7" t="str">
        <f>"20010311004"</f>
        <v>20010311004</v>
      </c>
      <c r="B47" s="7" t="str">
        <f t="shared" si="1"/>
        <v>2001</v>
      </c>
      <c r="C47" s="7" t="str">
        <f>"张铭"</f>
        <v>张铭</v>
      </c>
      <c r="D47" s="7">
        <v>2</v>
      </c>
      <c r="E47" s="7">
        <v>21</v>
      </c>
      <c r="F47" s="7" t="s">
        <v>10</v>
      </c>
      <c r="G47" s="8">
        <v>85.2</v>
      </c>
      <c r="H47" s="7"/>
      <c r="I47" s="8">
        <v>85.2</v>
      </c>
    </row>
    <row r="48" s="1" customFormat="1" ht="23" customHeight="1" spans="1:9">
      <c r="A48" s="7" t="str">
        <f>"20010311119"</f>
        <v>20010311119</v>
      </c>
      <c r="B48" s="7" t="str">
        <f t="shared" si="1"/>
        <v>2001</v>
      </c>
      <c r="C48" s="7" t="str">
        <f>"刘亚淼"</f>
        <v>刘亚淼</v>
      </c>
      <c r="D48" s="7">
        <v>2</v>
      </c>
      <c r="E48" s="7">
        <v>22</v>
      </c>
      <c r="F48" s="7" t="s">
        <v>10</v>
      </c>
      <c r="G48" s="8">
        <v>82.96</v>
      </c>
      <c r="H48" s="7"/>
      <c r="I48" s="8">
        <v>82.96</v>
      </c>
    </row>
    <row r="49" s="1" customFormat="1" ht="23" customHeight="1" spans="1:9">
      <c r="A49" s="7" t="str">
        <f>"20010310910"</f>
        <v>20010310910</v>
      </c>
      <c r="B49" s="7" t="str">
        <f t="shared" si="1"/>
        <v>2001</v>
      </c>
      <c r="C49" s="7" t="str">
        <f>"张冬雪"</f>
        <v>张冬雪</v>
      </c>
      <c r="D49" s="7">
        <v>2</v>
      </c>
      <c r="E49" s="7">
        <v>23</v>
      </c>
      <c r="F49" s="7" t="s">
        <v>10</v>
      </c>
      <c r="G49" s="8">
        <v>83.2</v>
      </c>
      <c r="H49" s="7"/>
      <c r="I49" s="8">
        <v>83.2</v>
      </c>
    </row>
    <row r="50" s="1" customFormat="1" ht="23" customHeight="1" spans="1:9">
      <c r="A50" s="7" t="str">
        <f>"20010309916"</f>
        <v>20010309916</v>
      </c>
      <c r="B50" s="7" t="str">
        <f t="shared" si="1"/>
        <v>2001</v>
      </c>
      <c r="C50" s="7" t="str">
        <f>"赵琼"</f>
        <v>赵琼</v>
      </c>
      <c r="D50" s="7">
        <v>2</v>
      </c>
      <c r="E50" s="7" t="s">
        <v>11</v>
      </c>
      <c r="F50" s="7" t="s">
        <v>10</v>
      </c>
      <c r="G50" s="8" t="s">
        <v>11</v>
      </c>
      <c r="H50" s="7"/>
      <c r="I50" s="8" t="s">
        <v>11</v>
      </c>
    </row>
    <row r="51" s="1" customFormat="1" ht="23" customHeight="1" spans="1:9">
      <c r="A51" s="7" t="str">
        <f>"20010310323"</f>
        <v>20010310323</v>
      </c>
      <c r="B51" s="7" t="str">
        <f t="shared" si="1"/>
        <v>2001</v>
      </c>
      <c r="C51" s="7" t="str">
        <f>"王茹"</f>
        <v>王茹</v>
      </c>
      <c r="D51" s="7">
        <v>2</v>
      </c>
      <c r="E51" s="7" t="s">
        <v>11</v>
      </c>
      <c r="F51" s="7" t="s">
        <v>10</v>
      </c>
      <c r="G51" s="8" t="s">
        <v>11</v>
      </c>
      <c r="H51" s="7"/>
      <c r="I51" s="8" t="s">
        <v>11</v>
      </c>
    </row>
    <row r="52" s="1" customFormat="1" ht="23" customHeight="1" spans="1:9">
      <c r="A52" s="7" t="str">
        <f>"20010310415"</f>
        <v>20010310415</v>
      </c>
      <c r="B52" s="7" t="str">
        <f t="shared" si="1"/>
        <v>2001</v>
      </c>
      <c r="C52" s="7" t="str">
        <f>"张钰宛"</f>
        <v>张钰宛</v>
      </c>
      <c r="D52" s="7">
        <v>2</v>
      </c>
      <c r="E52" s="7" t="s">
        <v>11</v>
      </c>
      <c r="F52" s="7" t="s">
        <v>10</v>
      </c>
      <c r="G52" s="8" t="s">
        <v>11</v>
      </c>
      <c r="H52" s="7"/>
      <c r="I52" s="8" t="s">
        <v>11</v>
      </c>
    </row>
    <row r="53" s="1" customFormat="1" ht="23" customHeight="1" spans="1:9">
      <c r="A53" s="7" t="str">
        <f>"20010310604"</f>
        <v>20010310604</v>
      </c>
      <c r="B53" s="7" t="str">
        <f t="shared" si="1"/>
        <v>2001</v>
      </c>
      <c r="C53" s="7" t="str">
        <f>"赵章梦"</f>
        <v>赵章梦</v>
      </c>
      <c r="D53" s="7">
        <v>2</v>
      </c>
      <c r="E53" s="7" t="s">
        <v>11</v>
      </c>
      <c r="F53" s="7" t="s">
        <v>10</v>
      </c>
      <c r="G53" s="8" t="s">
        <v>11</v>
      </c>
      <c r="H53" s="7"/>
      <c r="I53" s="8" t="s">
        <v>11</v>
      </c>
    </row>
    <row r="54" s="1" customFormat="1" ht="23" customHeight="1" spans="1:9">
      <c r="A54" s="7" t="str">
        <f>"20010310828"</f>
        <v>20010310828</v>
      </c>
      <c r="B54" s="7" t="str">
        <f t="shared" si="1"/>
        <v>2001</v>
      </c>
      <c r="C54" s="7" t="str">
        <f>"乔江萍"</f>
        <v>乔江萍</v>
      </c>
      <c r="D54" s="7">
        <v>2</v>
      </c>
      <c r="E54" s="7" t="s">
        <v>11</v>
      </c>
      <c r="F54" s="7" t="s">
        <v>10</v>
      </c>
      <c r="G54" s="8" t="s">
        <v>11</v>
      </c>
      <c r="H54" s="7"/>
      <c r="I54" s="8" t="s">
        <v>11</v>
      </c>
    </row>
    <row r="55" s="1" customFormat="1" ht="23" customHeight="1" spans="1:9">
      <c r="A55" s="7" t="str">
        <f>"20010311108"</f>
        <v>20010311108</v>
      </c>
      <c r="B55" s="7" t="str">
        <f t="shared" si="1"/>
        <v>2001</v>
      </c>
      <c r="C55" s="7" t="str">
        <f>"张桂芳"</f>
        <v>张桂芳</v>
      </c>
      <c r="D55" s="7">
        <v>2</v>
      </c>
      <c r="E55" s="7" t="s">
        <v>11</v>
      </c>
      <c r="F55" s="7" t="s">
        <v>10</v>
      </c>
      <c r="G55" s="8" t="s">
        <v>11</v>
      </c>
      <c r="H55" s="7"/>
      <c r="I55" s="8" t="s">
        <v>11</v>
      </c>
    </row>
    <row r="56" s="1" customFormat="1" ht="23" customHeight="1" spans="1:9">
      <c r="A56" s="7" t="str">
        <f>"20010311207"</f>
        <v>20010311207</v>
      </c>
      <c r="B56" s="7" t="str">
        <f t="shared" si="1"/>
        <v>2001</v>
      </c>
      <c r="C56" s="7" t="str">
        <f>"杨洋"</f>
        <v>杨洋</v>
      </c>
      <c r="D56" s="7">
        <v>2</v>
      </c>
      <c r="E56" s="7" t="s">
        <v>11</v>
      </c>
      <c r="F56" s="7" t="s">
        <v>10</v>
      </c>
      <c r="G56" s="8" t="s">
        <v>11</v>
      </c>
      <c r="H56" s="7"/>
      <c r="I56" s="8" t="s">
        <v>11</v>
      </c>
    </row>
    <row r="57" s="1" customFormat="1" ht="23" customHeight="1" spans="1:9">
      <c r="A57" s="7" t="str">
        <f>"50010724703"</f>
        <v>50010724703</v>
      </c>
      <c r="B57" s="7" t="str">
        <f t="shared" ref="B57:B84" si="2">"5001"</f>
        <v>5001</v>
      </c>
      <c r="C57" s="7" t="str">
        <f>"张晓婷"</f>
        <v>张晓婷</v>
      </c>
      <c r="D57" s="7">
        <v>3</v>
      </c>
      <c r="E57" s="7">
        <v>1</v>
      </c>
      <c r="F57" s="7" t="s">
        <v>10</v>
      </c>
      <c r="G57" s="8">
        <v>82.18</v>
      </c>
      <c r="H57" s="7"/>
      <c r="I57" s="8">
        <v>82.18</v>
      </c>
    </row>
    <row r="58" s="1" customFormat="1" ht="23" customHeight="1" spans="1:9">
      <c r="A58" s="7" t="str">
        <f>"50010726822"</f>
        <v>50010726822</v>
      </c>
      <c r="B58" s="7" t="str">
        <f t="shared" si="2"/>
        <v>5001</v>
      </c>
      <c r="C58" s="7" t="str">
        <f>"宋海楠"</f>
        <v>宋海楠</v>
      </c>
      <c r="D58" s="7">
        <v>3</v>
      </c>
      <c r="E58" s="7">
        <v>2</v>
      </c>
      <c r="F58" s="7" t="s">
        <v>10</v>
      </c>
      <c r="G58" s="8">
        <v>80.82</v>
      </c>
      <c r="H58" s="7"/>
      <c r="I58" s="8">
        <v>80.82</v>
      </c>
    </row>
    <row r="59" s="1" customFormat="1" ht="23" customHeight="1" spans="1:9">
      <c r="A59" s="7" t="str">
        <f>"50010827230"</f>
        <v>50010827230</v>
      </c>
      <c r="B59" s="7" t="str">
        <f t="shared" si="2"/>
        <v>5001</v>
      </c>
      <c r="C59" s="7" t="str">
        <f>"程阳"</f>
        <v>程阳</v>
      </c>
      <c r="D59" s="7">
        <v>3</v>
      </c>
      <c r="E59" s="7">
        <v>3</v>
      </c>
      <c r="F59" s="7" t="s">
        <v>10</v>
      </c>
      <c r="G59" s="8">
        <v>87.02</v>
      </c>
      <c r="H59" s="7"/>
      <c r="I59" s="8">
        <v>87.02</v>
      </c>
    </row>
    <row r="60" s="1" customFormat="1" ht="23" customHeight="1" spans="1:9">
      <c r="A60" s="7" t="str">
        <f>"50010724407"</f>
        <v>50010724407</v>
      </c>
      <c r="B60" s="7" t="str">
        <f t="shared" si="2"/>
        <v>5001</v>
      </c>
      <c r="C60" s="7" t="str">
        <f>"陈硕"</f>
        <v>陈硕</v>
      </c>
      <c r="D60" s="7">
        <v>3</v>
      </c>
      <c r="E60" s="7">
        <v>4</v>
      </c>
      <c r="F60" s="7" t="s">
        <v>10</v>
      </c>
      <c r="G60" s="8">
        <v>83.74</v>
      </c>
      <c r="H60" s="7"/>
      <c r="I60" s="8">
        <v>83.74</v>
      </c>
    </row>
    <row r="61" s="1" customFormat="1" ht="23" customHeight="1" spans="1:9">
      <c r="A61" s="7" t="str">
        <f>"50010725603"</f>
        <v>50010725603</v>
      </c>
      <c r="B61" s="7" t="str">
        <f t="shared" si="2"/>
        <v>5001</v>
      </c>
      <c r="C61" s="7" t="str">
        <f>"李含妍"</f>
        <v>李含妍</v>
      </c>
      <c r="D61" s="7">
        <v>3</v>
      </c>
      <c r="E61" s="7">
        <v>5</v>
      </c>
      <c r="F61" s="7" t="s">
        <v>10</v>
      </c>
      <c r="G61" s="8">
        <v>86.58</v>
      </c>
      <c r="H61" s="7"/>
      <c r="I61" s="8">
        <v>86.58</v>
      </c>
    </row>
    <row r="62" s="1" customFormat="1" ht="23" customHeight="1" spans="1:9">
      <c r="A62" s="7" t="str">
        <f>"50010827008"</f>
        <v>50010827008</v>
      </c>
      <c r="B62" s="7" t="str">
        <f t="shared" si="2"/>
        <v>5001</v>
      </c>
      <c r="C62" s="7" t="str">
        <f>"张雅歌"</f>
        <v>张雅歌</v>
      </c>
      <c r="D62" s="7">
        <v>3</v>
      </c>
      <c r="E62" s="7">
        <v>6</v>
      </c>
      <c r="F62" s="7" t="s">
        <v>10</v>
      </c>
      <c r="G62" s="8">
        <v>82.88</v>
      </c>
      <c r="H62" s="7"/>
      <c r="I62" s="8">
        <v>82.88</v>
      </c>
    </row>
    <row r="63" s="1" customFormat="1" ht="23" customHeight="1" spans="1:9">
      <c r="A63" s="7" t="str">
        <f>"50010725329"</f>
        <v>50010725329</v>
      </c>
      <c r="B63" s="7" t="str">
        <f t="shared" si="2"/>
        <v>5001</v>
      </c>
      <c r="C63" s="7" t="str">
        <f>"余洋"</f>
        <v>余洋</v>
      </c>
      <c r="D63" s="7">
        <v>3</v>
      </c>
      <c r="E63" s="7">
        <v>7</v>
      </c>
      <c r="F63" s="7" t="s">
        <v>10</v>
      </c>
      <c r="G63" s="8">
        <v>83.14</v>
      </c>
      <c r="H63" s="7"/>
      <c r="I63" s="8">
        <v>83.14</v>
      </c>
    </row>
    <row r="64" s="1" customFormat="1" ht="23" customHeight="1" spans="1:9">
      <c r="A64" s="7" t="str">
        <f>"50010726924"</f>
        <v>50010726924</v>
      </c>
      <c r="B64" s="7" t="str">
        <f t="shared" si="2"/>
        <v>5001</v>
      </c>
      <c r="C64" s="7" t="str">
        <f>"刘明明"</f>
        <v>刘明明</v>
      </c>
      <c r="D64" s="7">
        <v>3</v>
      </c>
      <c r="E64" s="7">
        <v>8</v>
      </c>
      <c r="F64" s="7" t="s">
        <v>10</v>
      </c>
      <c r="G64" s="8">
        <v>86.18</v>
      </c>
      <c r="H64" s="7"/>
      <c r="I64" s="8">
        <v>86.18</v>
      </c>
    </row>
    <row r="65" s="1" customFormat="1" ht="23" customHeight="1" spans="1:9">
      <c r="A65" s="7" t="str">
        <f>"50010827211"</f>
        <v>50010827211</v>
      </c>
      <c r="B65" s="7" t="str">
        <f t="shared" si="2"/>
        <v>5001</v>
      </c>
      <c r="C65" s="7" t="str">
        <f>"陈怡静"</f>
        <v>陈怡静</v>
      </c>
      <c r="D65" s="7">
        <v>3</v>
      </c>
      <c r="E65" s="7">
        <v>9</v>
      </c>
      <c r="F65" s="7" t="s">
        <v>10</v>
      </c>
      <c r="G65" s="8">
        <v>86.76</v>
      </c>
      <c r="H65" s="7"/>
      <c r="I65" s="8">
        <v>86.76</v>
      </c>
    </row>
    <row r="66" s="1" customFormat="1" ht="23" customHeight="1" spans="1:9">
      <c r="A66" s="7" t="str">
        <f>"50010724820"</f>
        <v>50010724820</v>
      </c>
      <c r="B66" s="7" t="str">
        <f t="shared" si="2"/>
        <v>5001</v>
      </c>
      <c r="C66" s="7" t="str">
        <f>"丁佳一"</f>
        <v>丁佳一</v>
      </c>
      <c r="D66" s="7">
        <v>3</v>
      </c>
      <c r="E66" s="7">
        <v>10</v>
      </c>
      <c r="F66" s="7" t="s">
        <v>10</v>
      </c>
      <c r="G66" s="8">
        <v>85.5</v>
      </c>
      <c r="H66" s="7"/>
      <c r="I66" s="8">
        <v>85.5</v>
      </c>
    </row>
    <row r="67" s="1" customFormat="1" ht="23" customHeight="1" spans="1:9">
      <c r="A67" s="7" t="str">
        <f>"50010723721"</f>
        <v>50010723721</v>
      </c>
      <c r="B67" s="7" t="str">
        <f t="shared" si="2"/>
        <v>5001</v>
      </c>
      <c r="C67" s="7" t="str">
        <f>"吴征"</f>
        <v>吴征</v>
      </c>
      <c r="D67" s="7">
        <v>3</v>
      </c>
      <c r="E67" s="7">
        <v>11</v>
      </c>
      <c r="F67" s="7" t="s">
        <v>10</v>
      </c>
      <c r="G67" s="8">
        <v>84.96</v>
      </c>
      <c r="H67" s="7"/>
      <c r="I67" s="8">
        <v>84.96</v>
      </c>
    </row>
    <row r="68" s="1" customFormat="1" ht="23" customHeight="1" spans="1:9">
      <c r="A68" s="7" t="str">
        <f>"50010725923"</f>
        <v>50010725923</v>
      </c>
      <c r="B68" s="7" t="str">
        <f t="shared" si="2"/>
        <v>5001</v>
      </c>
      <c r="C68" s="7" t="str">
        <f>"魏莹"</f>
        <v>魏莹</v>
      </c>
      <c r="D68" s="7">
        <v>3</v>
      </c>
      <c r="E68" s="7">
        <v>12</v>
      </c>
      <c r="F68" s="7" t="s">
        <v>10</v>
      </c>
      <c r="G68" s="8">
        <v>84.48</v>
      </c>
      <c r="H68" s="7"/>
      <c r="I68" s="8">
        <v>84.48</v>
      </c>
    </row>
    <row r="69" s="1" customFormat="1" ht="23" customHeight="1" spans="1:9">
      <c r="A69" s="7" t="str">
        <f>"50010827206"</f>
        <v>50010827206</v>
      </c>
      <c r="B69" s="7" t="str">
        <f t="shared" si="2"/>
        <v>5001</v>
      </c>
      <c r="C69" s="7" t="str">
        <f>"梁小仪"</f>
        <v>梁小仪</v>
      </c>
      <c r="D69" s="7">
        <v>3</v>
      </c>
      <c r="E69" s="7">
        <v>13</v>
      </c>
      <c r="F69" s="7" t="s">
        <v>10</v>
      </c>
      <c r="G69" s="8">
        <v>85.12</v>
      </c>
      <c r="H69" s="7"/>
      <c r="I69" s="8">
        <v>85.12</v>
      </c>
    </row>
    <row r="70" s="1" customFormat="1" ht="23" customHeight="1" spans="1:9">
      <c r="A70" s="7" t="str">
        <f>"50010726815"</f>
        <v>50010726815</v>
      </c>
      <c r="B70" s="7" t="str">
        <f t="shared" si="2"/>
        <v>5001</v>
      </c>
      <c r="C70" s="7" t="str">
        <f>"刘莹丽"</f>
        <v>刘莹丽</v>
      </c>
      <c r="D70" s="7">
        <v>3</v>
      </c>
      <c r="E70" s="7">
        <v>14</v>
      </c>
      <c r="F70" s="7" t="s">
        <v>10</v>
      </c>
      <c r="G70" s="8">
        <v>83.52</v>
      </c>
      <c r="H70" s="7"/>
      <c r="I70" s="8">
        <v>83.52</v>
      </c>
    </row>
    <row r="71" s="1" customFormat="1" ht="23" customHeight="1" spans="1:9">
      <c r="A71" s="7" t="str">
        <f>"50010726304"</f>
        <v>50010726304</v>
      </c>
      <c r="B71" s="7" t="str">
        <f t="shared" si="2"/>
        <v>5001</v>
      </c>
      <c r="C71" s="7" t="str">
        <f>"翟世梅"</f>
        <v>翟世梅</v>
      </c>
      <c r="D71" s="7">
        <v>3</v>
      </c>
      <c r="E71" s="7">
        <v>15</v>
      </c>
      <c r="F71" s="7" t="s">
        <v>10</v>
      </c>
      <c r="G71" s="8">
        <v>83.98</v>
      </c>
      <c r="H71" s="7"/>
      <c r="I71" s="8">
        <v>83.98</v>
      </c>
    </row>
    <row r="72" s="1" customFormat="1" ht="23" customHeight="1" spans="1:9">
      <c r="A72" s="7" t="str">
        <f>"50010725518"</f>
        <v>50010725518</v>
      </c>
      <c r="B72" s="7" t="str">
        <f t="shared" si="2"/>
        <v>5001</v>
      </c>
      <c r="C72" s="7" t="str">
        <f>"李忠洋"</f>
        <v>李忠洋</v>
      </c>
      <c r="D72" s="7">
        <v>3</v>
      </c>
      <c r="E72" s="7">
        <v>16</v>
      </c>
      <c r="F72" s="7" t="s">
        <v>10</v>
      </c>
      <c r="G72" s="8">
        <v>86.82</v>
      </c>
      <c r="H72" s="7"/>
      <c r="I72" s="8">
        <v>86.82</v>
      </c>
    </row>
    <row r="73" s="1" customFormat="1" ht="23" customHeight="1" spans="1:9">
      <c r="A73" s="7" t="str">
        <f>"50010723918"</f>
        <v>50010723918</v>
      </c>
      <c r="B73" s="7" t="str">
        <f t="shared" si="2"/>
        <v>5001</v>
      </c>
      <c r="C73" s="7" t="str">
        <f>"李金阳"</f>
        <v>李金阳</v>
      </c>
      <c r="D73" s="7">
        <v>3</v>
      </c>
      <c r="E73" s="7">
        <v>17</v>
      </c>
      <c r="F73" s="7" t="s">
        <v>10</v>
      </c>
      <c r="G73" s="8">
        <v>84.52</v>
      </c>
      <c r="H73" s="7"/>
      <c r="I73" s="8">
        <v>84.52</v>
      </c>
    </row>
    <row r="74" s="1" customFormat="1" ht="23" customHeight="1" spans="1:9">
      <c r="A74" s="7" t="str">
        <f>"50010827626"</f>
        <v>50010827626</v>
      </c>
      <c r="B74" s="7" t="str">
        <f t="shared" si="2"/>
        <v>5001</v>
      </c>
      <c r="C74" s="7" t="str">
        <f>"杨阳"</f>
        <v>杨阳</v>
      </c>
      <c r="D74" s="7">
        <v>3</v>
      </c>
      <c r="E74" s="7">
        <v>18</v>
      </c>
      <c r="F74" s="7" t="s">
        <v>10</v>
      </c>
      <c r="G74" s="8">
        <v>84.22</v>
      </c>
      <c r="H74" s="7"/>
      <c r="I74" s="8">
        <v>84.22</v>
      </c>
    </row>
    <row r="75" s="1" customFormat="1" ht="23" customHeight="1" spans="1:9">
      <c r="A75" s="7" t="str">
        <f>"50010827117"</f>
        <v>50010827117</v>
      </c>
      <c r="B75" s="7" t="str">
        <f t="shared" si="2"/>
        <v>5001</v>
      </c>
      <c r="C75" s="7" t="str">
        <f>"周鹏云"</f>
        <v>周鹏云</v>
      </c>
      <c r="D75" s="7">
        <v>3</v>
      </c>
      <c r="E75" s="7">
        <v>19</v>
      </c>
      <c r="F75" s="7" t="s">
        <v>10</v>
      </c>
      <c r="G75" s="8">
        <v>85.04</v>
      </c>
      <c r="H75" s="7"/>
      <c r="I75" s="8">
        <v>85.04</v>
      </c>
    </row>
    <row r="76" s="1" customFormat="1" ht="23" customHeight="1" spans="1:9">
      <c r="A76" s="7" t="str">
        <f>"50010724921"</f>
        <v>50010724921</v>
      </c>
      <c r="B76" s="7" t="str">
        <f t="shared" si="2"/>
        <v>5001</v>
      </c>
      <c r="C76" s="7" t="str">
        <f>"刘佳鑫"</f>
        <v>刘佳鑫</v>
      </c>
      <c r="D76" s="7">
        <v>3</v>
      </c>
      <c r="E76" s="7">
        <v>20</v>
      </c>
      <c r="F76" s="7" t="s">
        <v>10</v>
      </c>
      <c r="G76" s="8">
        <v>84.2</v>
      </c>
      <c r="H76" s="7"/>
      <c r="I76" s="8">
        <v>84.2</v>
      </c>
    </row>
    <row r="77" s="1" customFormat="1" ht="23" customHeight="1" spans="1:9">
      <c r="A77" s="7" t="str">
        <f>"50010827330"</f>
        <v>50010827330</v>
      </c>
      <c r="B77" s="7" t="str">
        <f t="shared" si="2"/>
        <v>5001</v>
      </c>
      <c r="C77" s="7" t="str">
        <f>"时宁宁"</f>
        <v>时宁宁</v>
      </c>
      <c r="D77" s="7">
        <v>3</v>
      </c>
      <c r="E77" s="7">
        <v>21</v>
      </c>
      <c r="F77" s="7" t="s">
        <v>10</v>
      </c>
      <c r="G77" s="8">
        <v>84.44</v>
      </c>
      <c r="H77" s="7"/>
      <c r="I77" s="8">
        <v>84.44</v>
      </c>
    </row>
    <row r="78" s="1" customFormat="1" ht="23" customHeight="1" spans="1:9">
      <c r="A78" s="7" t="str">
        <f>"50010724311"</f>
        <v>50010724311</v>
      </c>
      <c r="B78" s="7" t="str">
        <f t="shared" si="2"/>
        <v>5001</v>
      </c>
      <c r="C78" s="7" t="str">
        <f>"顾滢"</f>
        <v>顾滢</v>
      </c>
      <c r="D78" s="7">
        <v>3</v>
      </c>
      <c r="E78" s="7">
        <v>22</v>
      </c>
      <c r="F78" s="7" t="s">
        <v>10</v>
      </c>
      <c r="G78" s="8">
        <v>85.52</v>
      </c>
      <c r="H78" s="7"/>
      <c r="I78" s="8">
        <v>85.52</v>
      </c>
    </row>
    <row r="79" s="1" customFormat="1" ht="23" customHeight="1" spans="1:9">
      <c r="A79" s="7" t="str">
        <f>"50010724103"</f>
        <v>50010724103</v>
      </c>
      <c r="B79" s="7" t="str">
        <f t="shared" si="2"/>
        <v>5001</v>
      </c>
      <c r="C79" s="7" t="str">
        <f>"陈陆阳"</f>
        <v>陈陆阳</v>
      </c>
      <c r="D79" s="7">
        <v>3</v>
      </c>
      <c r="E79" s="7">
        <v>23</v>
      </c>
      <c r="F79" s="7" t="s">
        <v>10</v>
      </c>
      <c r="G79" s="8">
        <v>85.24</v>
      </c>
      <c r="H79" s="7"/>
      <c r="I79" s="8">
        <v>85.24</v>
      </c>
    </row>
    <row r="80" s="1" customFormat="1" ht="23" customHeight="1" spans="1:9">
      <c r="A80" s="7" t="str">
        <f>"50010726617"</f>
        <v>50010726617</v>
      </c>
      <c r="B80" s="7" t="str">
        <f t="shared" si="2"/>
        <v>5001</v>
      </c>
      <c r="C80" s="7" t="str">
        <f>"李姿"</f>
        <v>李姿</v>
      </c>
      <c r="D80" s="7">
        <v>3</v>
      </c>
      <c r="E80" s="7">
        <v>24</v>
      </c>
      <c r="F80" s="7" t="s">
        <v>10</v>
      </c>
      <c r="G80" s="8">
        <v>85.28</v>
      </c>
      <c r="H80" s="7"/>
      <c r="I80" s="8">
        <v>85.28</v>
      </c>
    </row>
    <row r="81" s="1" customFormat="1" ht="23" customHeight="1" spans="1:9">
      <c r="A81" s="7" t="str">
        <f>"50010726619"</f>
        <v>50010726619</v>
      </c>
      <c r="B81" s="7" t="str">
        <f t="shared" si="2"/>
        <v>5001</v>
      </c>
      <c r="C81" s="7" t="str">
        <f>"陈哲"</f>
        <v>陈哲</v>
      </c>
      <c r="D81" s="7">
        <v>3</v>
      </c>
      <c r="E81" s="7">
        <v>25</v>
      </c>
      <c r="F81" s="7" t="s">
        <v>10</v>
      </c>
      <c r="G81" s="8">
        <v>84.88</v>
      </c>
      <c r="H81" s="7"/>
      <c r="I81" s="8">
        <v>84.88</v>
      </c>
    </row>
    <row r="82" s="1" customFormat="1" ht="23" customHeight="1" spans="1:9">
      <c r="A82" s="7" t="str">
        <f>"50010723925"</f>
        <v>50010723925</v>
      </c>
      <c r="B82" s="7" t="str">
        <f t="shared" si="2"/>
        <v>5001</v>
      </c>
      <c r="C82" s="7" t="str">
        <f>"李东洋"</f>
        <v>李东洋</v>
      </c>
      <c r="D82" s="7">
        <v>3</v>
      </c>
      <c r="E82" s="7">
        <v>26</v>
      </c>
      <c r="F82" s="7" t="s">
        <v>10</v>
      </c>
      <c r="G82" s="8">
        <v>83.32</v>
      </c>
      <c r="H82" s="7"/>
      <c r="I82" s="8">
        <v>83.32</v>
      </c>
    </row>
    <row r="83" s="1" customFormat="1" ht="23" customHeight="1" spans="1:9">
      <c r="A83" s="7" t="str">
        <f>"50010724217"</f>
        <v>50010724217</v>
      </c>
      <c r="B83" s="7" t="str">
        <f t="shared" si="2"/>
        <v>5001</v>
      </c>
      <c r="C83" s="7" t="str">
        <f>"曹亚瑞"</f>
        <v>曹亚瑞</v>
      </c>
      <c r="D83" s="7">
        <v>3</v>
      </c>
      <c r="E83" s="7">
        <v>27</v>
      </c>
      <c r="F83" s="7" t="s">
        <v>10</v>
      </c>
      <c r="G83" s="8">
        <v>84.58</v>
      </c>
      <c r="H83" s="7"/>
      <c r="I83" s="8">
        <v>84.58</v>
      </c>
    </row>
    <row r="84" s="1" customFormat="1" ht="23" customHeight="1" spans="1:9">
      <c r="A84" s="7" t="str">
        <f>"50010724915"</f>
        <v>50010724915</v>
      </c>
      <c r="B84" s="7" t="str">
        <f t="shared" si="2"/>
        <v>5001</v>
      </c>
      <c r="C84" s="7" t="str">
        <f>"邱梦瑶"</f>
        <v>邱梦瑶</v>
      </c>
      <c r="D84" s="7">
        <v>3</v>
      </c>
      <c r="E84" s="7" t="s">
        <v>11</v>
      </c>
      <c r="F84" s="7" t="s">
        <v>10</v>
      </c>
      <c r="G84" s="8" t="s">
        <v>11</v>
      </c>
      <c r="H84" s="7"/>
      <c r="I84" s="8" t="s">
        <v>11</v>
      </c>
    </row>
    <row r="85" s="1" customFormat="1" ht="23" customHeight="1" spans="1:9">
      <c r="A85" s="7" t="str">
        <f>"10020106016"</f>
        <v>10020106016</v>
      </c>
      <c r="B85" s="7" t="str">
        <f t="shared" ref="B85:B107" si="3">"1002"</f>
        <v>1002</v>
      </c>
      <c r="C85" s="7" t="str">
        <f>"李彦汛"</f>
        <v>李彦汛</v>
      </c>
      <c r="D85" s="7">
        <v>4</v>
      </c>
      <c r="E85" s="7">
        <v>1</v>
      </c>
      <c r="F85" s="7" t="s">
        <v>10</v>
      </c>
      <c r="G85" s="8">
        <v>82.4</v>
      </c>
      <c r="H85" s="7"/>
      <c r="I85" s="8">
        <v>82.4</v>
      </c>
    </row>
    <row r="86" s="1" customFormat="1" ht="23" customHeight="1" spans="1:9">
      <c r="A86" s="7" t="str">
        <f>"10020105823"</f>
        <v>10020105823</v>
      </c>
      <c r="B86" s="7" t="str">
        <f t="shared" si="3"/>
        <v>1002</v>
      </c>
      <c r="C86" s="7" t="str">
        <f>"李彤彤"</f>
        <v>李彤彤</v>
      </c>
      <c r="D86" s="7">
        <v>4</v>
      </c>
      <c r="E86" s="7">
        <v>2</v>
      </c>
      <c r="F86" s="7" t="s">
        <v>10</v>
      </c>
      <c r="G86" s="8">
        <v>81.68</v>
      </c>
      <c r="H86" s="7"/>
      <c r="I86" s="8">
        <v>81.68</v>
      </c>
    </row>
    <row r="87" s="1" customFormat="1" ht="23" customHeight="1" spans="1:9">
      <c r="A87" s="7" t="str">
        <f>"10020206102"</f>
        <v>10020206102</v>
      </c>
      <c r="B87" s="7" t="str">
        <f t="shared" si="3"/>
        <v>1002</v>
      </c>
      <c r="C87" s="7" t="str">
        <f>"吴明瑞"</f>
        <v>吴明瑞</v>
      </c>
      <c r="D87" s="7">
        <v>4</v>
      </c>
      <c r="E87" s="7">
        <v>3</v>
      </c>
      <c r="F87" s="7" t="s">
        <v>10</v>
      </c>
      <c r="G87" s="8">
        <v>83.66</v>
      </c>
      <c r="H87" s="7"/>
      <c r="I87" s="8">
        <v>83.66</v>
      </c>
    </row>
    <row r="88" s="1" customFormat="1" ht="23" customHeight="1" spans="1:9">
      <c r="A88" s="7" t="str">
        <f>"10020105626"</f>
        <v>10020105626</v>
      </c>
      <c r="B88" s="7" t="str">
        <f t="shared" si="3"/>
        <v>1002</v>
      </c>
      <c r="C88" s="7" t="str">
        <f>"赖青燚"</f>
        <v>赖青燚</v>
      </c>
      <c r="D88" s="7">
        <v>4</v>
      </c>
      <c r="E88" s="7">
        <v>4</v>
      </c>
      <c r="F88" s="7" t="s">
        <v>10</v>
      </c>
      <c r="G88" s="8">
        <v>83</v>
      </c>
      <c r="H88" s="7"/>
      <c r="I88" s="8">
        <v>83</v>
      </c>
    </row>
    <row r="89" s="1" customFormat="1" ht="23" customHeight="1" spans="1:9">
      <c r="A89" s="7" t="str">
        <f>"10020106007"</f>
        <v>10020106007</v>
      </c>
      <c r="B89" s="7" t="str">
        <f t="shared" si="3"/>
        <v>1002</v>
      </c>
      <c r="C89" s="7" t="str">
        <f>"张冰倩"</f>
        <v>张冰倩</v>
      </c>
      <c r="D89" s="7">
        <v>4</v>
      </c>
      <c r="E89" s="7">
        <v>5</v>
      </c>
      <c r="F89" s="7" t="s">
        <v>10</v>
      </c>
      <c r="G89" s="8">
        <v>83.88</v>
      </c>
      <c r="H89" s="7"/>
      <c r="I89" s="8">
        <v>83.88</v>
      </c>
    </row>
    <row r="90" s="1" customFormat="1" ht="23" customHeight="1" spans="1:9">
      <c r="A90" s="7" t="str">
        <f>"10020105628"</f>
        <v>10020105628</v>
      </c>
      <c r="B90" s="7" t="str">
        <f t="shared" si="3"/>
        <v>1002</v>
      </c>
      <c r="C90" s="7" t="str">
        <f>"王蓝慧"</f>
        <v>王蓝慧</v>
      </c>
      <c r="D90" s="7">
        <v>4</v>
      </c>
      <c r="E90" s="7">
        <v>6</v>
      </c>
      <c r="F90" s="7" t="s">
        <v>10</v>
      </c>
      <c r="G90" s="8">
        <v>82.6</v>
      </c>
      <c r="H90" s="7"/>
      <c r="I90" s="8">
        <v>82.6</v>
      </c>
    </row>
    <row r="91" s="1" customFormat="1" ht="23" customHeight="1" spans="1:9">
      <c r="A91" s="7" t="str">
        <f>"10020105706"</f>
        <v>10020105706</v>
      </c>
      <c r="B91" s="7" t="str">
        <f t="shared" si="3"/>
        <v>1002</v>
      </c>
      <c r="C91" s="7" t="str">
        <f>"皇甫丽荣"</f>
        <v>皇甫丽荣</v>
      </c>
      <c r="D91" s="7">
        <v>4</v>
      </c>
      <c r="E91" s="7">
        <v>7</v>
      </c>
      <c r="F91" s="7" t="s">
        <v>10</v>
      </c>
      <c r="G91" s="8">
        <v>81.8</v>
      </c>
      <c r="H91" s="7"/>
      <c r="I91" s="8">
        <v>81.8</v>
      </c>
    </row>
    <row r="92" s="1" customFormat="1" ht="23" customHeight="1" spans="1:9">
      <c r="A92" s="7" t="str">
        <f>"10020105713"</f>
        <v>10020105713</v>
      </c>
      <c r="B92" s="7" t="str">
        <f t="shared" si="3"/>
        <v>1002</v>
      </c>
      <c r="C92" s="7" t="str">
        <f>"马时迎"</f>
        <v>马时迎</v>
      </c>
      <c r="D92" s="7">
        <v>4</v>
      </c>
      <c r="E92" s="7">
        <v>8</v>
      </c>
      <c r="F92" s="7" t="s">
        <v>10</v>
      </c>
      <c r="G92" s="8">
        <v>82.74</v>
      </c>
      <c r="H92" s="7"/>
      <c r="I92" s="8">
        <v>82.74</v>
      </c>
    </row>
    <row r="93" s="1" customFormat="1" ht="23" customHeight="1" spans="1:9">
      <c r="A93" s="7" t="str">
        <f>"10020206107"</f>
        <v>10020206107</v>
      </c>
      <c r="B93" s="7" t="str">
        <f t="shared" si="3"/>
        <v>1002</v>
      </c>
      <c r="C93" s="7" t="str">
        <f>"孟帅"</f>
        <v>孟帅</v>
      </c>
      <c r="D93" s="7">
        <v>4</v>
      </c>
      <c r="E93" s="7">
        <v>9</v>
      </c>
      <c r="F93" s="7" t="s">
        <v>10</v>
      </c>
      <c r="G93" s="8">
        <v>83.72</v>
      </c>
      <c r="H93" s="7"/>
      <c r="I93" s="8">
        <v>83.72</v>
      </c>
    </row>
    <row r="94" s="1" customFormat="1" ht="23" customHeight="1" spans="1:9">
      <c r="A94" s="7" t="str">
        <f>"10020105617"</f>
        <v>10020105617</v>
      </c>
      <c r="B94" s="7" t="str">
        <f t="shared" si="3"/>
        <v>1002</v>
      </c>
      <c r="C94" s="7" t="str">
        <f>"李治力"</f>
        <v>李治力</v>
      </c>
      <c r="D94" s="7">
        <v>4</v>
      </c>
      <c r="E94" s="7">
        <v>10</v>
      </c>
      <c r="F94" s="7" t="s">
        <v>10</v>
      </c>
      <c r="G94" s="8">
        <v>82.18</v>
      </c>
      <c r="H94" s="7"/>
      <c r="I94" s="8">
        <v>82.18</v>
      </c>
    </row>
    <row r="95" s="1" customFormat="1" ht="23" customHeight="1" spans="1:9">
      <c r="A95" s="7" t="str">
        <f>"10020105625"</f>
        <v>10020105625</v>
      </c>
      <c r="B95" s="7" t="str">
        <f t="shared" si="3"/>
        <v>1002</v>
      </c>
      <c r="C95" s="7" t="str">
        <f>"崔光福"</f>
        <v>崔光福</v>
      </c>
      <c r="D95" s="7">
        <v>4</v>
      </c>
      <c r="E95" s="7">
        <v>11</v>
      </c>
      <c r="F95" s="7" t="s">
        <v>10</v>
      </c>
      <c r="G95" s="8">
        <v>84</v>
      </c>
      <c r="H95" s="7"/>
      <c r="I95" s="8">
        <v>84</v>
      </c>
    </row>
    <row r="96" s="1" customFormat="1" ht="23" customHeight="1" spans="1:9">
      <c r="A96" s="7" t="str">
        <f>"10020105829"</f>
        <v>10020105829</v>
      </c>
      <c r="B96" s="7" t="str">
        <f t="shared" si="3"/>
        <v>1002</v>
      </c>
      <c r="C96" s="7" t="str">
        <f>"张业扬"</f>
        <v>张业扬</v>
      </c>
      <c r="D96" s="7">
        <v>4</v>
      </c>
      <c r="E96" s="7">
        <v>12</v>
      </c>
      <c r="F96" s="7" t="s">
        <v>10</v>
      </c>
      <c r="G96" s="8">
        <v>83.98</v>
      </c>
      <c r="H96" s="7"/>
      <c r="I96" s="8">
        <v>83.98</v>
      </c>
    </row>
    <row r="97" s="1" customFormat="1" ht="23" customHeight="1" spans="1:9">
      <c r="A97" s="7" t="str">
        <f>"10020206112"</f>
        <v>10020206112</v>
      </c>
      <c r="B97" s="7" t="str">
        <f t="shared" si="3"/>
        <v>1002</v>
      </c>
      <c r="C97" s="7" t="str">
        <f>"高盼盼"</f>
        <v>高盼盼</v>
      </c>
      <c r="D97" s="7">
        <v>4</v>
      </c>
      <c r="E97" s="7">
        <v>13</v>
      </c>
      <c r="F97" s="7" t="s">
        <v>10</v>
      </c>
      <c r="G97" s="8">
        <v>84.06</v>
      </c>
      <c r="H97" s="7"/>
      <c r="I97" s="8">
        <v>84.06</v>
      </c>
    </row>
    <row r="98" s="1" customFormat="1" ht="23" customHeight="1" spans="1:9">
      <c r="A98" s="7" t="str">
        <f>"10020105616"</f>
        <v>10020105616</v>
      </c>
      <c r="B98" s="7" t="str">
        <f t="shared" si="3"/>
        <v>1002</v>
      </c>
      <c r="C98" s="7" t="str">
        <f>"赵建钢"</f>
        <v>赵建钢</v>
      </c>
      <c r="D98" s="7">
        <v>4</v>
      </c>
      <c r="E98" s="7">
        <v>14</v>
      </c>
      <c r="F98" s="7" t="s">
        <v>10</v>
      </c>
      <c r="G98" s="8">
        <v>83.64</v>
      </c>
      <c r="H98" s="7"/>
      <c r="I98" s="8">
        <v>83.64</v>
      </c>
    </row>
    <row r="99" s="1" customFormat="1" ht="23" customHeight="1" spans="1:9">
      <c r="A99" s="7" t="str">
        <f>"10020105725"</f>
        <v>10020105725</v>
      </c>
      <c r="B99" s="7" t="str">
        <f t="shared" si="3"/>
        <v>1002</v>
      </c>
      <c r="C99" s="7" t="str">
        <f>"苏琪朕"</f>
        <v>苏琪朕</v>
      </c>
      <c r="D99" s="7">
        <v>4</v>
      </c>
      <c r="E99" s="7">
        <v>15</v>
      </c>
      <c r="F99" s="7" t="s">
        <v>10</v>
      </c>
      <c r="G99" s="8">
        <v>82.54</v>
      </c>
      <c r="H99" s="7"/>
      <c r="I99" s="8">
        <v>82.54</v>
      </c>
    </row>
    <row r="100" s="1" customFormat="1" ht="23" customHeight="1" spans="1:9">
      <c r="A100" s="7" t="str">
        <f>"10020105716"</f>
        <v>10020105716</v>
      </c>
      <c r="B100" s="7" t="str">
        <f t="shared" si="3"/>
        <v>1002</v>
      </c>
      <c r="C100" s="7" t="str">
        <f>"王洁"</f>
        <v>王洁</v>
      </c>
      <c r="D100" s="7">
        <v>4</v>
      </c>
      <c r="E100" s="7">
        <v>16</v>
      </c>
      <c r="F100" s="7" t="s">
        <v>10</v>
      </c>
      <c r="G100" s="8">
        <v>83.34</v>
      </c>
      <c r="H100" s="7"/>
      <c r="I100" s="8">
        <v>83.34</v>
      </c>
    </row>
    <row r="101" s="1" customFormat="1" ht="23" customHeight="1" spans="1:9">
      <c r="A101" s="7" t="str">
        <f>"10020105803"</f>
        <v>10020105803</v>
      </c>
      <c r="B101" s="7" t="str">
        <f t="shared" si="3"/>
        <v>1002</v>
      </c>
      <c r="C101" s="7" t="str">
        <f>"吴金重"</f>
        <v>吴金重</v>
      </c>
      <c r="D101" s="7">
        <v>4</v>
      </c>
      <c r="E101" s="7">
        <v>17</v>
      </c>
      <c r="F101" s="7" t="s">
        <v>10</v>
      </c>
      <c r="G101" s="8">
        <v>83.54</v>
      </c>
      <c r="H101" s="7"/>
      <c r="I101" s="8">
        <v>83.54</v>
      </c>
    </row>
    <row r="102" s="1" customFormat="1" ht="23" customHeight="1" spans="1:9">
      <c r="A102" s="7" t="str">
        <f>"10020206105"</f>
        <v>10020206105</v>
      </c>
      <c r="B102" s="7" t="str">
        <f t="shared" si="3"/>
        <v>1002</v>
      </c>
      <c r="C102" s="7" t="str">
        <f>"徐瑶"</f>
        <v>徐瑶</v>
      </c>
      <c r="D102" s="7">
        <v>4</v>
      </c>
      <c r="E102" s="7">
        <v>18</v>
      </c>
      <c r="F102" s="7" t="s">
        <v>10</v>
      </c>
      <c r="G102" s="8">
        <v>84.12</v>
      </c>
      <c r="H102" s="7"/>
      <c r="I102" s="8">
        <v>84.12</v>
      </c>
    </row>
    <row r="103" s="1" customFormat="1" ht="23" customHeight="1" spans="1:9">
      <c r="A103" s="7" t="str">
        <f>"10020105917"</f>
        <v>10020105917</v>
      </c>
      <c r="B103" s="7" t="str">
        <f t="shared" si="3"/>
        <v>1002</v>
      </c>
      <c r="C103" s="7" t="str">
        <f>"王元铎"</f>
        <v>王元铎</v>
      </c>
      <c r="D103" s="7">
        <v>4</v>
      </c>
      <c r="E103" s="7">
        <v>19</v>
      </c>
      <c r="F103" s="7" t="s">
        <v>10</v>
      </c>
      <c r="G103" s="8">
        <v>84.12</v>
      </c>
      <c r="H103" s="7"/>
      <c r="I103" s="8">
        <v>84.12</v>
      </c>
    </row>
    <row r="104" s="1" customFormat="1" ht="23" customHeight="1" spans="1:9">
      <c r="A104" s="7" t="str">
        <f>"10020105726"</f>
        <v>10020105726</v>
      </c>
      <c r="B104" s="7" t="str">
        <f t="shared" si="3"/>
        <v>1002</v>
      </c>
      <c r="C104" s="7" t="str">
        <f>"李婉玉"</f>
        <v>李婉玉</v>
      </c>
      <c r="D104" s="7">
        <v>4</v>
      </c>
      <c r="E104" s="7">
        <v>20</v>
      </c>
      <c r="F104" s="7" t="s">
        <v>10</v>
      </c>
      <c r="G104" s="8">
        <v>83.86</v>
      </c>
      <c r="H104" s="7"/>
      <c r="I104" s="8">
        <v>83.86</v>
      </c>
    </row>
    <row r="105" s="1" customFormat="1" ht="23" customHeight="1" spans="1:9">
      <c r="A105" s="7" t="str">
        <f>"10020206104"</f>
        <v>10020206104</v>
      </c>
      <c r="B105" s="7" t="str">
        <f t="shared" si="3"/>
        <v>1002</v>
      </c>
      <c r="C105" s="7" t="str">
        <f>"张悦"</f>
        <v>张悦</v>
      </c>
      <c r="D105" s="7">
        <v>4</v>
      </c>
      <c r="E105" s="7">
        <v>21</v>
      </c>
      <c r="F105" s="7" t="s">
        <v>10</v>
      </c>
      <c r="G105" s="8">
        <v>83.4</v>
      </c>
      <c r="H105" s="7"/>
      <c r="I105" s="8">
        <v>83.4</v>
      </c>
    </row>
    <row r="106" s="1" customFormat="1" ht="23" customHeight="1" spans="1:9">
      <c r="A106" s="7" t="str">
        <f>"10020105927"</f>
        <v>10020105927</v>
      </c>
      <c r="B106" s="7" t="str">
        <f t="shared" si="3"/>
        <v>1002</v>
      </c>
      <c r="C106" s="7" t="str">
        <f>"郭萌"</f>
        <v>郭萌</v>
      </c>
      <c r="D106" s="7">
        <v>4</v>
      </c>
      <c r="E106" s="7">
        <v>22</v>
      </c>
      <c r="F106" s="7" t="s">
        <v>10</v>
      </c>
      <c r="G106" s="8">
        <v>84.1</v>
      </c>
      <c r="H106" s="7"/>
      <c r="I106" s="8">
        <v>84.1</v>
      </c>
    </row>
    <row r="107" s="1" customFormat="1" ht="23" customHeight="1" spans="1:9">
      <c r="A107" s="7" t="str">
        <f>"10020105715"</f>
        <v>10020105715</v>
      </c>
      <c r="B107" s="7" t="str">
        <f t="shared" si="3"/>
        <v>1002</v>
      </c>
      <c r="C107" s="7" t="str">
        <f>"杨凤伊"</f>
        <v>杨凤伊</v>
      </c>
      <c r="D107" s="7">
        <v>4</v>
      </c>
      <c r="E107" s="7" t="s">
        <v>11</v>
      </c>
      <c r="F107" s="7" t="s">
        <v>10</v>
      </c>
      <c r="G107" s="8" t="s">
        <v>11</v>
      </c>
      <c r="H107" s="7"/>
      <c r="I107" s="8" t="s">
        <v>11</v>
      </c>
    </row>
    <row r="108" s="1" customFormat="1" ht="23" customHeight="1" spans="1:9">
      <c r="A108" s="7" t="str">
        <f>"20020312112"</f>
        <v>20020312112</v>
      </c>
      <c r="B108" s="7" t="str">
        <f t="shared" ref="B108:B134" si="4">"2002"</f>
        <v>2002</v>
      </c>
      <c r="C108" s="7" t="str">
        <f>"戚卉鑫"</f>
        <v>戚卉鑫</v>
      </c>
      <c r="D108" s="7">
        <v>5</v>
      </c>
      <c r="E108" s="7">
        <v>1</v>
      </c>
      <c r="F108" s="7" t="s">
        <v>10</v>
      </c>
      <c r="G108" s="8">
        <v>83.38</v>
      </c>
      <c r="H108" s="7"/>
      <c r="I108" s="8">
        <v>83.38</v>
      </c>
    </row>
    <row r="109" s="1" customFormat="1" ht="23" customHeight="1" spans="1:9">
      <c r="A109" s="7" t="str">
        <f>"20020312307"</f>
        <v>20020312307</v>
      </c>
      <c r="B109" s="7" t="str">
        <f t="shared" si="4"/>
        <v>2002</v>
      </c>
      <c r="C109" s="7" t="str">
        <f>"周珂"</f>
        <v>周珂</v>
      </c>
      <c r="D109" s="7">
        <v>5</v>
      </c>
      <c r="E109" s="7">
        <v>2</v>
      </c>
      <c r="F109" s="7" t="s">
        <v>10</v>
      </c>
      <c r="G109" s="8">
        <v>80.38</v>
      </c>
      <c r="H109" s="7"/>
      <c r="I109" s="8">
        <v>80.38</v>
      </c>
    </row>
    <row r="110" s="1" customFormat="1" ht="23" customHeight="1" spans="1:9">
      <c r="A110" s="7" t="str">
        <f>"20020312515"</f>
        <v>20020312515</v>
      </c>
      <c r="B110" s="7" t="str">
        <f t="shared" si="4"/>
        <v>2002</v>
      </c>
      <c r="C110" s="7" t="str">
        <f>"邓佳沛"</f>
        <v>邓佳沛</v>
      </c>
      <c r="D110" s="7">
        <v>5</v>
      </c>
      <c r="E110" s="7">
        <v>3</v>
      </c>
      <c r="F110" s="7" t="s">
        <v>10</v>
      </c>
      <c r="G110" s="8">
        <v>80.88</v>
      </c>
      <c r="H110" s="7"/>
      <c r="I110" s="8">
        <v>80.88</v>
      </c>
    </row>
    <row r="111" s="1" customFormat="1" ht="23" customHeight="1" spans="1:9">
      <c r="A111" s="7" t="str">
        <f>"20020311808"</f>
        <v>20020311808</v>
      </c>
      <c r="B111" s="7" t="str">
        <f t="shared" si="4"/>
        <v>2002</v>
      </c>
      <c r="C111" s="7" t="str">
        <f>"王晨"</f>
        <v>王晨</v>
      </c>
      <c r="D111" s="7">
        <v>5</v>
      </c>
      <c r="E111" s="7">
        <v>4</v>
      </c>
      <c r="F111" s="7" t="s">
        <v>10</v>
      </c>
      <c r="G111" s="8">
        <v>83.68</v>
      </c>
      <c r="H111" s="7"/>
      <c r="I111" s="8">
        <v>83.68</v>
      </c>
    </row>
    <row r="112" s="1" customFormat="1" ht="23" customHeight="1" spans="1:9">
      <c r="A112" s="7" t="str">
        <f>"20020312716"</f>
        <v>20020312716</v>
      </c>
      <c r="B112" s="7" t="str">
        <f t="shared" si="4"/>
        <v>2002</v>
      </c>
      <c r="C112" s="7" t="str">
        <f>"张宛玉"</f>
        <v>张宛玉</v>
      </c>
      <c r="D112" s="7">
        <v>5</v>
      </c>
      <c r="E112" s="7">
        <v>5</v>
      </c>
      <c r="F112" s="7" t="s">
        <v>10</v>
      </c>
      <c r="G112" s="8">
        <v>83.94</v>
      </c>
      <c r="H112" s="7"/>
      <c r="I112" s="8">
        <v>83.94</v>
      </c>
    </row>
    <row r="113" s="1" customFormat="1" ht="23" customHeight="1" spans="1:9">
      <c r="A113" s="7" t="str">
        <f>"20020312226"</f>
        <v>20020312226</v>
      </c>
      <c r="B113" s="7" t="str">
        <f t="shared" si="4"/>
        <v>2002</v>
      </c>
      <c r="C113" s="7" t="str">
        <f>"李鑫鑫"</f>
        <v>李鑫鑫</v>
      </c>
      <c r="D113" s="7">
        <v>5</v>
      </c>
      <c r="E113" s="7">
        <v>6</v>
      </c>
      <c r="F113" s="7" t="s">
        <v>10</v>
      </c>
      <c r="G113" s="8">
        <v>82.7</v>
      </c>
      <c r="H113" s="7"/>
      <c r="I113" s="8">
        <v>82.7</v>
      </c>
    </row>
    <row r="114" s="1" customFormat="1" ht="23" customHeight="1" spans="1:9">
      <c r="A114" s="7" t="str">
        <f>"20020312730"</f>
        <v>20020312730</v>
      </c>
      <c r="B114" s="7" t="str">
        <f t="shared" si="4"/>
        <v>2002</v>
      </c>
      <c r="C114" s="7" t="str">
        <f>"李强"</f>
        <v>李强</v>
      </c>
      <c r="D114" s="7">
        <v>5</v>
      </c>
      <c r="E114" s="7">
        <v>7</v>
      </c>
      <c r="F114" s="7" t="s">
        <v>10</v>
      </c>
      <c r="G114" s="8">
        <v>83.9</v>
      </c>
      <c r="H114" s="7"/>
      <c r="I114" s="8">
        <v>83.9</v>
      </c>
    </row>
    <row r="115" s="1" customFormat="1" ht="23" customHeight="1" spans="1:9">
      <c r="A115" s="7" t="str">
        <f>"20020312622"</f>
        <v>20020312622</v>
      </c>
      <c r="B115" s="7" t="str">
        <f t="shared" si="4"/>
        <v>2002</v>
      </c>
      <c r="C115" s="7" t="str">
        <f>"欧博雅"</f>
        <v>欧博雅</v>
      </c>
      <c r="D115" s="7">
        <v>5</v>
      </c>
      <c r="E115" s="7">
        <v>8</v>
      </c>
      <c r="F115" s="7" t="s">
        <v>10</v>
      </c>
      <c r="G115" s="8">
        <v>82.92</v>
      </c>
      <c r="H115" s="7"/>
      <c r="I115" s="8">
        <v>82.92</v>
      </c>
    </row>
    <row r="116" s="1" customFormat="1" ht="23" customHeight="1" spans="1:9">
      <c r="A116" s="7" t="str">
        <f>"20020312225"</f>
        <v>20020312225</v>
      </c>
      <c r="B116" s="7" t="str">
        <f t="shared" si="4"/>
        <v>2002</v>
      </c>
      <c r="C116" s="7" t="str">
        <f>"黄荟"</f>
        <v>黄荟</v>
      </c>
      <c r="D116" s="7">
        <v>5</v>
      </c>
      <c r="E116" s="7">
        <v>9</v>
      </c>
      <c r="F116" s="7" t="s">
        <v>10</v>
      </c>
      <c r="G116" s="8">
        <v>82.76</v>
      </c>
      <c r="H116" s="7"/>
      <c r="I116" s="8">
        <v>82.76</v>
      </c>
    </row>
    <row r="117" s="1" customFormat="1" ht="23" customHeight="1" spans="1:9">
      <c r="A117" s="7" t="str">
        <f>"20020312506"</f>
        <v>20020312506</v>
      </c>
      <c r="B117" s="7" t="str">
        <f t="shared" si="4"/>
        <v>2002</v>
      </c>
      <c r="C117" s="7" t="str">
        <f>"马灵博"</f>
        <v>马灵博</v>
      </c>
      <c r="D117" s="7">
        <v>5</v>
      </c>
      <c r="E117" s="7">
        <v>10</v>
      </c>
      <c r="F117" s="7" t="s">
        <v>10</v>
      </c>
      <c r="G117" s="8">
        <v>83.08</v>
      </c>
      <c r="H117" s="7"/>
      <c r="I117" s="8">
        <v>83.08</v>
      </c>
    </row>
    <row r="118" s="1" customFormat="1" ht="23" customHeight="1" spans="1:9">
      <c r="A118" s="7" t="str">
        <f>"20020312326"</f>
        <v>20020312326</v>
      </c>
      <c r="B118" s="7" t="str">
        <f t="shared" si="4"/>
        <v>2002</v>
      </c>
      <c r="C118" s="7" t="str">
        <f>"徐明洋"</f>
        <v>徐明洋</v>
      </c>
      <c r="D118" s="7">
        <v>5</v>
      </c>
      <c r="E118" s="7">
        <v>11</v>
      </c>
      <c r="F118" s="7" t="s">
        <v>10</v>
      </c>
      <c r="G118" s="8">
        <v>83.18</v>
      </c>
      <c r="H118" s="7"/>
      <c r="I118" s="8">
        <v>83.18</v>
      </c>
    </row>
    <row r="119" s="1" customFormat="1" ht="23" customHeight="1" spans="1:9">
      <c r="A119" s="7" t="str">
        <f>"20020311922"</f>
        <v>20020311922</v>
      </c>
      <c r="B119" s="7" t="str">
        <f t="shared" si="4"/>
        <v>2002</v>
      </c>
      <c r="C119" s="7" t="str">
        <f>"冯珍珠"</f>
        <v>冯珍珠</v>
      </c>
      <c r="D119" s="7">
        <v>5</v>
      </c>
      <c r="E119" s="7">
        <v>12</v>
      </c>
      <c r="F119" s="7" t="s">
        <v>10</v>
      </c>
      <c r="G119" s="8">
        <v>83.76</v>
      </c>
      <c r="H119" s="7"/>
      <c r="I119" s="8">
        <v>83.76</v>
      </c>
    </row>
    <row r="120" s="1" customFormat="1" ht="23" customHeight="1" spans="1:9">
      <c r="A120" s="7" t="str">
        <f>"20020311824"</f>
        <v>20020311824</v>
      </c>
      <c r="B120" s="7" t="str">
        <f t="shared" si="4"/>
        <v>2002</v>
      </c>
      <c r="C120" s="7" t="str">
        <f>"王露露"</f>
        <v>王露露</v>
      </c>
      <c r="D120" s="7">
        <v>5</v>
      </c>
      <c r="E120" s="7">
        <v>13</v>
      </c>
      <c r="F120" s="7" t="s">
        <v>10</v>
      </c>
      <c r="G120" s="8">
        <v>83.18</v>
      </c>
      <c r="H120" s="7"/>
      <c r="I120" s="8">
        <v>83.18</v>
      </c>
    </row>
    <row r="121" s="1" customFormat="1" ht="23" customHeight="1" spans="1:9">
      <c r="A121" s="7" t="str">
        <f>"20020312305"</f>
        <v>20020312305</v>
      </c>
      <c r="B121" s="7" t="str">
        <f t="shared" si="4"/>
        <v>2002</v>
      </c>
      <c r="C121" s="7" t="str">
        <f>"魏金燕"</f>
        <v>魏金燕</v>
      </c>
      <c r="D121" s="7">
        <v>5</v>
      </c>
      <c r="E121" s="7">
        <v>14</v>
      </c>
      <c r="F121" s="7" t="s">
        <v>10</v>
      </c>
      <c r="G121" s="8">
        <v>82.46</v>
      </c>
      <c r="H121" s="7"/>
      <c r="I121" s="8">
        <v>82.46</v>
      </c>
    </row>
    <row r="122" s="1" customFormat="1" ht="23" customHeight="1" spans="1:9">
      <c r="A122" s="7" t="str">
        <f>"20020412803"</f>
        <v>20020412803</v>
      </c>
      <c r="B122" s="7" t="str">
        <f t="shared" si="4"/>
        <v>2002</v>
      </c>
      <c r="C122" s="7" t="str">
        <f>"赵心琰"</f>
        <v>赵心琰</v>
      </c>
      <c r="D122" s="7">
        <v>5</v>
      </c>
      <c r="E122" s="7">
        <v>15</v>
      </c>
      <c r="F122" s="7" t="s">
        <v>10</v>
      </c>
      <c r="G122" s="8">
        <v>84.18</v>
      </c>
      <c r="H122" s="7"/>
      <c r="I122" s="8">
        <v>84.18</v>
      </c>
    </row>
    <row r="123" s="1" customFormat="1" ht="23" customHeight="1" spans="1:9">
      <c r="A123" s="7" t="str">
        <f>"20020311728"</f>
        <v>20020311728</v>
      </c>
      <c r="B123" s="7" t="str">
        <f t="shared" si="4"/>
        <v>2002</v>
      </c>
      <c r="C123" s="7" t="str">
        <f>"勇鹏飞"</f>
        <v>勇鹏飞</v>
      </c>
      <c r="D123" s="7">
        <v>5</v>
      </c>
      <c r="E123" s="7">
        <v>16</v>
      </c>
      <c r="F123" s="7" t="s">
        <v>10</v>
      </c>
      <c r="G123" s="8">
        <v>83.26</v>
      </c>
      <c r="H123" s="7"/>
      <c r="I123" s="8">
        <v>83.26</v>
      </c>
    </row>
    <row r="124" s="1" customFormat="1" ht="23" customHeight="1" spans="1:9">
      <c r="A124" s="7" t="str">
        <f>"20020311810"</f>
        <v>20020311810</v>
      </c>
      <c r="B124" s="7" t="str">
        <f t="shared" si="4"/>
        <v>2002</v>
      </c>
      <c r="C124" s="7" t="str">
        <f>"杨璐雨"</f>
        <v>杨璐雨</v>
      </c>
      <c r="D124" s="7">
        <v>5</v>
      </c>
      <c r="E124" s="7">
        <v>17</v>
      </c>
      <c r="F124" s="7" t="s">
        <v>10</v>
      </c>
      <c r="G124" s="8">
        <v>83.02</v>
      </c>
      <c r="H124" s="7"/>
      <c r="I124" s="8">
        <v>83.02</v>
      </c>
    </row>
    <row r="125" s="1" customFormat="1" ht="23" customHeight="1" spans="1:9">
      <c r="A125" s="7" t="str">
        <f>"20020312126"</f>
        <v>20020312126</v>
      </c>
      <c r="B125" s="7" t="str">
        <f t="shared" si="4"/>
        <v>2002</v>
      </c>
      <c r="C125" s="7" t="str">
        <f>"郭源"</f>
        <v>郭源</v>
      </c>
      <c r="D125" s="7">
        <v>5</v>
      </c>
      <c r="E125" s="7">
        <v>18</v>
      </c>
      <c r="F125" s="7" t="s">
        <v>10</v>
      </c>
      <c r="G125" s="8">
        <v>81.34</v>
      </c>
      <c r="H125" s="7"/>
      <c r="I125" s="8">
        <v>81.34</v>
      </c>
    </row>
    <row r="126" s="1" customFormat="1" ht="23" customHeight="1" spans="1:9">
      <c r="A126" s="7" t="str">
        <f>"20020311809"</f>
        <v>20020311809</v>
      </c>
      <c r="B126" s="7" t="str">
        <f t="shared" si="4"/>
        <v>2002</v>
      </c>
      <c r="C126" s="7" t="str">
        <f>"苏家音"</f>
        <v>苏家音</v>
      </c>
      <c r="D126" s="7">
        <v>5</v>
      </c>
      <c r="E126" s="7">
        <v>19</v>
      </c>
      <c r="F126" s="7" t="s">
        <v>10</v>
      </c>
      <c r="G126" s="8">
        <v>82.54</v>
      </c>
      <c r="H126" s="7"/>
      <c r="I126" s="8">
        <v>82.54</v>
      </c>
    </row>
    <row r="127" s="1" customFormat="1" ht="23" customHeight="1" spans="1:9">
      <c r="A127" s="7" t="str">
        <f>"20020312412"</f>
        <v>20020312412</v>
      </c>
      <c r="B127" s="7" t="str">
        <f t="shared" si="4"/>
        <v>2002</v>
      </c>
      <c r="C127" s="7" t="str">
        <f>"贾静"</f>
        <v>贾静</v>
      </c>
      <c r="D127" s="7">
        <v>5</v>
      </c>
      <c r="E127" s="7">
        <v>20</v>
      </c>
      <c r="F127" s="7" t="s">
        <v>10</v>
      </c>
      <c r="G127" s="8">
        <v>81.58</v>
      </c>
      <c r="H127" s="7"/>
      <c r="I127" s="8">
        <v>81.58</v>
      </c>
    </row>
    <row r="128" s="1" customFormat="1" ht="23" customHeight="1" spans="1:9">
      <c r="A128" s="7" t="str">
        <f>"20020312717"</f>
        <v>20020312717</v>
      </c>
      <c r="B128" s="7" t="str">
        <f t="shared" si="4"/>
        <v>2002</v>
      </c>
      <c r="C128" s="7" t="str">
        <f>"杜滨宇"</f>
        <v>杜滨宇</v>
      </c>
      <c r="D128" s="7">
        <v>5</v>
      </c>
      <c r="E128" s="7">
        <v>21</v>
      </c>
      <c r="F128" s="7" t="s">
        <v>10</v>
      </c>
      <c r="G128" s="8">
        <v>83.42</v>
      </c>
      <c r="H128" s="7"/>
      <c r="I128" s="8">
        <v>83.42</v>
      </c>
    </row>
    <row r="129" s="1" customFormat="1" ht="23" customHeight="1" spans="1:9">
      <c r="A129" s="7" t="str">
        <f>"20020311724"</f>
        <v>20020311724</v>
      </c>
      <c r="B129" s="7" t="str">
        <f t="shared" si="4"/>
        <v>2002</v>
      </c>
      <c r="C129" s="7" t="str">
        <f>"王静"</f>
        <v>王静</v>
      </c>
      <c r="D129" s="7">
        <v>5</v>
      </c>
      <c r="E129" s="7">
        <v>22</v>
      </c>
      <c r="F129" s="7" t="s">
        <v>10</v>
      </c>
      <c r="G129" s="8">
        <v>82.84</v>
      </c>
      <c r="H129" s="7"/>
      <c r="I129" s="8">
        <v>82.84</v>
      </c>
    </row>
    <row r="130" s="1" customFormat="1" ht="23" customHeight="1" spans="1:9">
      <c r="A130" s="7" t="str">
        <f>"20020312230"</f>
        <v>20020312230</v>
      </c>
      <c r="B130" s="7" t="str">
        <f t="shared" si="4"/>
        <v>2002</v>
      </c>
      <c r="C130" s="7" t="str">
        <f>"李僖蔚"</f>
        <v>李僖蔚</v>
      </c>
      <c r="D130" s="7">
        <v>5</v>
      </c>
      <c r="E130" s="7" t="s">
        <v>11</v>
      </c>
      <c r="F130" s="7" t="s">
        <v>10</v>
      </c>
      <c r="G130" s="8" t="s">
        <v>11</v>
      </c>
      <c r="H130" s="7"/>
      <c r="I130" s="8" t="s">
        <v>11</v>
      </c>
    </row>
    <row r="131" s="1" customFormat="1" ht="23" customHeight="1" spans="1:9">
      <c r="A131" s="7" t="str">
        <f>"20020312310"</f>
        <v>20020312310</v>
      </c>
      <c r="B131" s="7" t="str">
        <f t="shared" si="4"/>
        <v>2002</v>
      </c>
      <c r="C131" s="7" t="str">
        <f>"付秋敏"</f>
        <v>付秋敏</v>
      </c>
      <c r="D131" s="7">
        <v>5</v>
      </c>
      <c r="E131" s="7" t="s">
        <v>11</v>
      </c>
      <c r="F131" s="7" t="s">
        <v>10</v>
      </c>
      <c r="G131" s="8" t="s">
        <v>11</v>
      </c>
      <c r="H131" s="7"/>
      <c r="I131" s="8" t="s">
        <v>11</v>
      </c>
    </row>
    <row r="132" s="1" customFormat="1" ht="23" customHeight="1" spans="1:9">
      <c r="A132" s="7" t="str">
        <f>"20020312322"</f>
        <v>20020312322</v>
      </c>
      <c r="B132" s="7" t="str">
        <f t="shared" si="4"/>
        <v>2002</v>
      </c>
      <c r="C132" s="7" t="str">
        <f>"杨言真"</f>
        <v>杨言真</v>
      </c>
      <c r="D132" s="7">
        <v>5</v>
      </c>
      <c r="E132" s="7" t="s">
        <v>11</v>
      </c>
      <c r="F132" s="7" t="s">
        <v>10</v>
      </c>
      <c r="G132" s="8" t="s">
        <v>11</v>
      </c>
      <c r="H132" s="7"/>
      <c r="I132" s="8" t="s">
        <v>11</v>
      </c>
    </row>
    <row r="133" s="1" customFormat="1" ht="23" customHeight="1" spans="1:9">
      <c r="A133" s="7" t="str">
        <f>"20020312514"</f>
        <v>20020312514</v>
      </c>
      <c r="B133" s="7" t="str">
        <f t="shared" si="4"/>
        <v>2002</v>
      </c>
      <c r="C133" s="7" t="str">
        <f>"朱文芳"</f>
        <v>朱文芳</v>
      </c>
      <c r="D133" s="7">
        <v>5</v>
      </c>
      <c r="E133" s="7" t="s">
        <v>11</v>
      </c>
      <c r="F133" s="7" t="s">
        <v>10</v>
      </c>
      <c r="G133" s="8" t="s">
        <v>11</v>
      </c>
      <c r="H133" s="7"/>
      <c r="I133" s="8" t="s">
        <v>11</v>
      </c>
    </row>
    <row r="134" s="1" customFormat="1" ht="23" customHeight="1" spans="1:9">
      <c r="A134" s="7" t="str">
        <f>"20020312602"</f>
        <v>20020312602</v>
      </c>
      <c r="B134" s="7" t="str">
        <f t="shared" si="4"/>
        <v>2002</v>
      </c>
      <c r="C134" s="7" t="str">
        <f>"刘彩云"</f>
        <v>刘彩云</v>
      </c>
      <c r="D134" s="7">
        <v>5</v>
      </c>
      <c r="E134" s="7" t="s">
        <v>11</v>
      </c>
      <c r="F134" s="7" t="s">
        <v>10</v>
      </c>
      <c r="G134" s="8" t="s">
        <v>11</v>
      </c>
      <c r="H134" s="7"/>
      <c r="I134" s="8" t="s">
        <v>11</v>
      </c>
    </row>
    <row r="135" s="1" customFormat="1" ht="23" customHeight="1" spans="1:9">
      <c r="A135" s="7" t="str">
        <f>"50020827802"</f>
        <v>50020827802</v>
      </c>
      <c r="B135" s="7" t="str">
        <f t="shared" ref="B135:B160" si="5">"5002"</f>
        <v>5002</v>
      </c>
      <c r="C135" s="7" t="str">
        <f>"王云慧"</f>
        <v>王云慧</v>
      </c>
      <c r="D135" s="7">
        <v>6</v>
      </c>
      <c r="E135" s="7">
        <v>1</v>
      </c>
      <c r="F135" s="7" t="s">
        <v>10</v>
      </c>
      <c r="G135" s="8">
        <v>81.38</v>
      </c>
      <c r="H135" s="7"/>
      <c r="I135" s="8">
        <v>81.38</v>
      </c>
    </row>
    <row r="136" s="1" customFormat="1" ht="23" customHeight="1" spans="1:9">
      <c r="A136" s="7" t="str">
        <f>"50020829003"</f>
        <v>50020829003</v>
      </c>
      <c r="B136" s="7" t="str">
        <f t="shared" si="5"/>
        <v>5002</v>
      </c>
      <c r="C136" s="7" t="str">
        <f>"刘佳"</f>
        <v>刘佳</v>
      </c>
      <c r="D136" s="7">
        <v>6</v>
      </c>
      <c r="E136" s="7">
        <v>2</v>
      </c>
      <c r="F136" s="7" t="s">
        <v>10</v>
      </c>
      <c r="G136" s="8">
        <v>82.58</v>
      </c>
      <c r="H136" s="7"/>
      <c r="I136" s="8">
        <v>82.58</v>
      </c>
    </row>
    <row r="137" s="1" customFormat="1" ht="23" customHeight="1" spans="1:9">
      <c r="A137" s="7" t="str">
        <f>"50020831206"</f>
        <v>50020831206</v>
      </c>
      <c r="B137" s="7" t="str">
        <f t="shared" si="5"/>
        <v>5002</v>
      </c>
      <c r="C137" s="7" t="str">
        <f>"王含蕊"</f>
        <v>王含蕊</v>
      </c>
      <c r="D137" s="7">
        <v>6</v>
      </c>
      <c r="E137" s="7">
        <v>3</v>
      </c>
      <c r="F137" s="7" t="s">
        <v>10</v>
      </c>
      <c r="G137" s="8">
        <v>84.18</v>
      </c>
      <c r="H137" s="7"/>
      <c r="I137" s="8">
        <v>84.18</v>
      </c>
    </row>
    <row r="138" s="1" customFormat="1" ht="23" customHeight="1" spans="1:9">
      <c r="A138" s="7" t="str">
        <f>"50020831324"</f>
        <v>50020831324</v>
      </c>
      <c r="B138" s="7" t="str">
        <f t="shared" si="5"/>
        <v>5002</v>
      </c>
      <c r="C138" s="7" t="str">
        <f>"郭瑞"</f>
        <v>郭瑞</v>
      </c>
      <c r="D138" s="7">
        <v>6</v>
      </c>
      <c r="E138" s="7">
        <v>4</v>
      </c>
      <c r="F138" s="7" t="s">
        <v>10</v>
      </c>
      <c r="G138" s="8">
        <v>82.48</v>
      </c>
      <c r="H138" s="7"/>
      <c r="I138" s="8">
        <v>82.48</v>
      </c>
    </row>
    <row r="139" s="1" customFormat="1" ht="23" customHeight="1" spans="1:9">
      <c r="A139" s="7" t="str">
        <f>"50020830409"</f>
        <v>50020830409</v>
      </c>
      <c r="B139" s="7" t="str">
        <f t="shared" si="5"/>
        <v>5002</v>
      </c>
      <c r="C139" s="7" t="str">
        <f>"孟媛"</f>
        <v>孟媛</v>
      </c>
      <c r="D139" s="7">
        <v>6</v>
      </c>
      <c r="E139" s="7">
        <v>5</v>
      </c>
      <c r="F139" s="7" t="s">
        <v>10</v>
      </c>
      <c r="G139" s="8">
        <v>82.26</v>
      </c>
      <c r="H139" s="7"/>
      <c r="I139" s="8">
        <v>82.26</v>
      </c>
    </row>
    <row r="140" s="1" customFormat="1" ht="23" customHeight="1" spans="1:9">
      <c r="A140" s="7" t="str">
        <f>"50020828214"</f>
        <v>50020828214</v>
      </c>
      <c r="B140" s="7" t="str">
        <f t="shared" si="5"/>
        <v>5002</v>
      </c>
      <c r="C140" s="7" t="str">
        <f>"王雪"</f>
        <v>王雪</v>
      </c>
      <c r="D140" s="7">
        <v>6</v>
      </c>
      <c r="E140" s="7">
        <v>6</v>
      </c>
      <c r="F140" s="7" t="s">
        <v>10</v>
      </c>
      <c r="G140" s="8">
        <v>83.22</v>
      </c>
      <c r="H140" s="7"/>
      <c r="I140" s="8">
        <v>83.22</v>
      </c>
    </row>
    <row r="141" s="1" customFormat="1" ht="23" customHeight="1" spans="1:9">
      <c r="A141" s="7" t="str">
        <f>"50020829118"</f>
        <v>50020829118</v>
      </c>
      <c r="B141" s="7" t="str">
        <f t="shared" si="5"/>
        <v>5002</v>
      </c>
      <c r="C141" s="7" t="str">
        <f>"徐孟迪"</f>
        <v>徐孟迪</v>
      </c>
      <c r="D141" s="7">
        <v>6</v>
      </c>
      <c r="E141" s="7">
        <v>7</v>
      </c>
      <c r="F141" s="7" t="s">
        <v>10</v>
      </c>
      <c r="G141" s="8">
        <v>81.94</v>
      </c>
      <c r="H141" s="7"/>
      <c r="I141" s="8">
        <v>81.94</v>
      </c>
    </row>
    <row r="142" s="1" customFormat="1" ht="23" customHeight="1" spans="1:9">
      <c r="A142" s="7" t="str">
        <f>"50020827727"</f>
        <v>50020827727</v>
      </c>
      <c r="B142" s="7" t="str">
        <f t="shared" si="5"/>
        <v>5002</v>
      </c>
      <c r="C142" s="7" t="str">
        <f>"李飞菲"</f>
        <v>李飞菲</v>
      </c>
      <c r="D142" s="7">
        <v>6</v>
      </c>
      <c r="E142" s="7">
        <v>8</v>
      </c>
      <c r="F142" s="7" t="s">
        <v>10</v>
      </c>
      <c r="G142" s="8">
        <v>81.42</v>
      </c>
      <c r="H142" s="7"/>
      <c r="I142" s="8">
        <v>81.42</v>
      </c>
    </row>
    <row r="143" s="1" customFormat="1" ht="23" customHeight="1" spans="1:9">
      <c r="A143" s="7" t="str">
        <f>"50020829928"</f>
        <v>50020829928</v>
      </c>
      <c r="B143" s="7" t="str">
        <f t="shared" si="5"/>
        <v>5002</v>
      </c>
      <c r="C143" s="7" t="str">
        <f>"许梦娟"</f>
        <v>许梦娟</v>
      </c>
      <c r="D143" s="7">
        <v>6</v>
      </c>
      <c r="E143" s="7">
        <v>9</v>
      </c>
      <c r="F143" s="7" t="s">
        <v>10</v>
      </c>
      <c r="G143" s="8">
        <v>82.02</v>
      </c>
      <c r="H143" s="7"/>
      <c r="I143" s="8">
        <v>82.02</v>
      </c>
    </row>
    <row r="144" s="1" customFormat="1" ht="23" customHeight="1" spans="1:9">
      <c r="A144" s="7" t="str">
        <f>"50020830916"</f>
        <v>50020830916</v>
      </c>
      <c r="B144" s="7" t="str">
        <f t="shared" si="5"/>
        <v>5002</v>
      </c>
      <c r="C144" s="7" t="str">
        <f>"王亚婷"</f>
        <v>王亚婷</v>
      </c>
      <c r="D144" s="7">
        <v>6</v>
      </c>
      <c r="E144" s="7">
        <v>10</v>
      </c>
      <c r="F144" s="7" t="s">
        <v>10</v>
      </c>
      <c r="G144" s="8">
        <v>82.8</v>
      </c>
      <c r="H144" s="7"/>
      <c r="I144" s="8">
        <v>82.8</v>
      </c>
    </row>
    <row r="145" s="1" customFormat="1" ht="23" customHeight="1" spans="1:9">
      <c r="A145" s="7" t="str">
        <f>"50020828909"</f>
        <v>50020828909</v>
      </c>
      <c r="B145" s="7" t="str">
        <f t="shared" si="5"/>
        <v>5002</v>
      </c>
      <c r="C145" s="7" t="str">
        <f>"孙丽"</f>
        <v>孙丽</v>
      </c>
      <c r="D145" s="7">
        <v>6</v>
      </c>
      <c r="E145" s="7">
        <v>11</v>
      </c>
      <c r="F145" s="7" t="s">
        <v>10</v>
      </c>
      <c r="G145" s="8">
        <v>80.72</v>
      </c>
      <c r="H145" s="7"/>
      <c r="I145" s="8">
        <v>80.72</v>
      </c>
    </row>
    <row r="146" s="1" customFormat="1" ht="23" customHeight="1" spans="1:9">
      <c r="A146" s="7" t="str">
        <f>"50020830126"</f>
        <v>50020830126</v>
      </c>
      <c r="B146" s="7" t="str">
        <f t="shared" si="5"/>
        <v>5002</v>
      </c>
      <c r="C146" s="7" t="str">
        <f>"尹应坤"</f>
        <v>尹应坤</v>
      </c>
      <c r="D146" s="7">
        <v>6</v>
      </c>
      <c r="E146" s="7">
        <v>12</v>
      </c>
      <c r="F146" s="7" t="s">
        <v>10</v>
      </c>
      <c r="G146" s="8">
        <v>84.14</v>
      </c>
      <c r="H146" s="7"/>
      <c r="I146" s="8">
        <v>84.14</v>
      </c>
    </row>
    <row r="147" s="1" customFormat="1" ht="23" customHeight="1" spans="1:9">
      <c r="A147" s="7" t="str">
        <f>"50020830215"</f>
        <v>50020830215</v>
      </c>
      <c r="B147" s="7" t="str">
        <f t="shared" si="5"/>
        <v>5002</v>
      </c>
      <c r="C147" s="7" t="str">
        <f>"韩梦梦"</f>
        <v>韩梦梦</v>
      </c>
      <c r="D147" s="7">
        <v>6</v>
      </c>
      <c r="E147" s="7">
        <v>13</v>
      </c>
      <c r="F147" s="7" t="s">
        <v>10</v>
      </c>
      <c r="G147" s="8">
        <v>82.56</v>
      </c>
      <c r="H147" s="7"/>
      <c r="I147" s="8">
        <v>82.56</v>
      </c>
    </row>
    <row r="148" s="1" customFormat="1" ht="23" customHeight="1" spans="1:9">
      <c r="A148" s="7" t="str">
        <f>"50020828228"</f>
        <v>50020828228</v>
      </c>
      <c r="B148" s="7" t="str">
        <f t="shared" si="5"/>
        <v>5002</v>
      </c>
      <c r="C148" s="7" t="str">
        <f>"徐璐"</f>
        <v>徐璐</v>
      </c>
      <c r="D148" s="7">
        <v>6</v>
      </c>
      <c r="E148" s="7">
        <v>14</v>
      </c>
      <c r="F148" s="7" t="s">
        <v>10</v>
      </c>
      <c r="G148" s="8">
        <v>82.26</v>
      </c>
      <c r="H148" s="7"/>
      <c r="I148" s="8">
        <v>82.26</v>
      </c>
    </row>
    <row r="149" s="1" customFormat="1" ht="23" customHeight="1" spans="1:9">
      <c r="A149" s="7" t="str">
        <f>"50020829002"</f>
        <v>50020829002</v>
      </c>
      <c r="B149" s="7" t="str">
        <f t="shared" si="5"/>
        <v>5002</v>
      </c>
      <c r="C149" s="7" t="str">
        <f>"李劲峰"</f>
        <v>李劲峰</v>
      </c>
      <c r="D149" s="7">
        <v>6</v>
      </c>
      <c r="E149" s="7">
        <v>15</v>
      </c>
      <c r="F149" s="7" t="s">
        <v>10</v>
      </c>
      <c r="G149" s="8">
        <v>80.98</v>
      </c>
      <c r="H149" s="7"/>
      <c r="I149" s="8">
        <v>80.98</v>
      </c>
    </row>
    <row r="150" s="1" customFormat="1" ht="23" customHeight="1" spans="1:9">
      <c r="A150" s="7" t="str">
        <f>"50020829515"</f>
        <v>50020829515</v>
      </c>
      <c r="B150" s="7" t="str">
        <f t="shared" si="5"/>
        <v>5002</v>
      </c>
      <c r="C150" s="7" t="str">
        <f>"郑艺璇"</f>
        <v>郑艺璇</v>
      </c>
      <c r="D150" s="7">
        <v>6</v>
      </c>
      <c r="E150" s="7">
        <v>16</v>
      </c>
      <c r="F150" s="7" t="s">
        <v>10</v>
      </c>
      <c r="G150" s="8">
        <v>81.24</v>
      </c>
      <c r="H150" s="7"/>
      <c r="I150" s="8">
        <v>81.24</v>
      </c>
    </row>
    <row r="151" s="1" customFormat="1" ht="23" customHeight="1" spans="1:9">
      <c r="A151" s="7" t="str">
        <f>"50020828709"</f>
        <v>50020828709</v>
      </c>
      <c r="B151" s="7" t="str">
        <f t="shared" si="5"/>
        <v>5002</v>
      </c>
      <c r="C151" s="7" t="str">
        <f>"冯眯"</f>
        <v>冯眯</v>
      </c>
      <c r="D151" s="7">
        <v>6</v>
      </c>
      <c r="E151" s="7">
        <v>17</v>
      </c>
      <c r="F151" s="7" t="s">
        <v>10</v>
      </c>
      <c r="G151" s="8">
        <v>81.62</v>
      </c>
      <c r="H151" s="7"/>
      <c r="I151" s="8">
        <v>81.62</v>
      </c>
    </row>
    <row r="152" s="1" customFormat="1" ht="23" customHeight="1" spans="1:9">
      <c r="A152" s="7" t="str">
        <f>"50020831107"</f>
        <v>50020831107</v>
      </c>
      <c r="B152" s="7" t="str">
        <f t="shared" si="5"/>
        <v>5002</v>
      </c>
      <c r="C152" s="7" t="str">
        <f>"关洪燕"</f>
        <v>关洪燕</v>
      </c>
      <c r="D152" s="7">
        <v>6</v>
      </c>
      <c r="E152" s="7">
        <v>18</v>
      </c>
      <c r="F152" s="7" t="s">
        <v>10</v>
      </c>
      <c r="G152" s="8">
        <v>81.84</v>
      </c>
      <c r="H152" s="7"/>
      <c r="I152" s="8">
        <v>81.84</v>
      </c>
    </row>
    <row r="153" s="1" customFormat="1" ht="23" customHeight="1" spans="1:9">
      <c r="A153" s="7" t="str">
        <f>"50020829128"</f>
        <v>50020829128</v>
      </c>
      <c r="B153" s="7" t="str">
        <f t="shared" si="5"/>
        <v>5002</v>
      </c>
      <c r="C153" s="7" t="str">
        <f>"谢玉立"</f>
        <v>谢玉立</v>
      </c>
      <c r="D153" s="7">
        <v>6</v>
      </c>
      <c r="E153" s="7">
        <v>19</v>
      </c>
      <c r="F153" s="7" t="s">
        <v>10</v>
      </c>
      <c r="G153" s="8">
        <v>83.38</v>
      </c>
      <c r="H153" s="7"/>
      <c r="I153" s="8">
        <v>83.38</v>
      </c>
    </row>
    <row r="154" s="1" customFormat="1" ht="23" customHeight="1" spans="1:9">
      <c r="A154" s="7" t="str">
        <f>"50020828116"</f>
        <v>50020828116</v>
      </c>
      <c r="B154" s="7" t="str">
        <f t="shared" si="5"/>
        <v>5002</v>
      </c>
      <c r="C154" s="7" t="str">
        <f>"柴晓争"</f>
        <v>柴晓争</v>
      </c>
      <c r="D154" s="7">
        <v>6</v>
      </c>
      <c r="E154" s="7">
        <v>20</v>
      </c>
      <c r="F154" s="7" t="s">
        <v>10</v>
      </c>
      <c r="G154" s="8">
        <v>83.6</v>
      </c>
      <c r="H154" s="7"/>
      <c r="I154" s="8">
        <v>83.6</v>
      </c>
    </row>
    <row r="155" s="1" customFormat="1" ht="23" customHeight="1" spans="1:9">
      <c r="A155" s="7" t="str">
        <f>"50020829610"</f>
        <v>50020829610</v>
      </c>
      <c r="B155" s="7" t="str">
        <f t="shared" si="5"/>
        <v>5002</v>
      </c>
      <c r="C155" s="7" t="str">
        <f>"黄海楠"</f>
        <v>黄海楠</v>
      </c>
      <c r="D155" s="7">
        <v>6</v>
      </c>
      <c r="E155" s="7">
        <v>21</v>
      </c>
      <c r="F155" s="7" t="s">
        <v>10</v>
      </c>
      <c r="G155" s="8">
        <v>82.5</v>
      </c>
      <c r="H155" s="7"/>
      <c r="I155" s="8">
        <v>82.5</v>
      </c>
    </row>
    <row r="156" s="1" customFormat="1" ht="23" customHeight="1" spans="1:9">
      <c r="A156" s="7" t="str">
        <f>"50020829726"</f>
        <v>50020829726</v>
      </c>
      <c r="B156" s="7" t="str">
        <f t="shared" si="5"/>
        <v>5002</v>
      </c>
      <c r="C156" s="7" t="str">
        <f>"白现娇"</f>
        <v>白现娇</v>
      </c>
      <c r="D156" s="7">
        <v>6</v>
      </c>
      <c r="E156" s="7">
        <v>22</v>
      </c>
      <c r="F156" s="7" t="s">
        <v>10</v>
      </c>
      <c r="G156" s="8">
        <v>84.16</v>
      </c>
      <c r="H156" s="7"/>
      <c r="I156" s="8">
        <v>84.16</v>
      </c>
    </row>
    <row r="157" s="1" customFormat="1" ht="23" customHeight="1" spans="1:9">
      <c r="A157" s="7" t="str">
        <f>"50020830206"</f>
        <v>50020830206</v>
      </c>
      <c r="B157" s="7" t="str">
        <f t="shared" si="5"/>
        <v>5002</v>
      </c>
      <c r="C157" s="7" t="str">
        <f>"陈清"</f>
        <v>陈清</v>
      </c>
      <c r="D157" s="7">
        <v>6</v>
      </c>
      <c r="E157" s="7">
        <v>23</v>
      </c>
      <c r="F157" s="7" t="s">
        <v>10</v>
      </c>
      <c r="G157" s="8">
        <v>82.08</v>
      </c>
      <c r="H157" s="7"/>
      <c r="I157" s="8">
        <v>82.08</v>
      </c>
    </row>
    <row r="158" s="1" customFormat="1" ht="23" customHeight="1" spans="1:9">
      <c r="A158" s="7" t="str">
        <f>"50020829930"</f>
        <v>50020829930</v>
      </c>
      <c r="B158" s="7" t="str">
        <f t="shared" si="5"/>
        <v>5002</v>
      </c>
      <c r="C158" s="7" t="str">
        <f>"胡梦远"</f>
        <v>胡梦远</v>
      </c>
      <c r="D158" s="7">
        <v>6</v>
      </c>
      <c r="E158" s="7">
        <v>24</v>
      </c>
      <c r="F158" s="7" t="s">
        <v>10</v>
      </c>
      <c r="G158" s="8">
        <v>81.88</v>
      </c>
      <c r="H158" s="7"/>
      <c r="I158" s="8">
        <v>81.88</v>
      </c>
    </row>
    <row r="159" s="1" customFormat="1" ht="23" customHeight="1" spans="1:9">
      <c r="A159" s="7" t="str">
        <f>"50020829111"</f>
        <v>50020829111</v>
      </c>
      <c r="B159" s="7" t="str">
        <f t="shared" si="5"/>
        <v>5002</v>
      </c>
      <c r="C159" s="7" t="str">
        <f>"贾双姣"</f>
        <v>贾双姣</v>
      </c>
      <c r="D159" s="7">
        <v>6</v>
      </c>
      <c r="E159" s="7">
        <v>25</v>
      </c>
      <c r="F159" s="7" t="s">
        <v>10</v>
      </c>
      <c r="G159" s="8">
        <v>81.36</v>
      </c>
      <c r="H159" s="7"/>
      <c r="I159" s="8">
        <v>81.36</v>
      </c>
    </row>
    <row r="160" s="1" customFormat="1" ht="23" customHeight="1" spans="1:9">
      <c r="A160" s="7" t="str">
        <f>"50020828026"</f>
        <v>50020828026</v>
      </c>
      <c r="B160" s="7" t="str">
        <f t="shared" si="5"/>
        <v>5002</v>
      </c>
      <c r="C160" s="7" t="str">
        <f>"宋海宝"</f>
        <v>宋海宝</v>
      </c>
      <c r="D160" s="7">
        <v>6</v>
      </c>
      <c r="E160" s="7">
        <v>26</v>
      </c>
      <c r="F160" s="7" t="s">
        <v>10</v>
      </c>
      <c r="G160" s="8">
        <v>81.42</v>
      </c>
      <c r="H160" s="7"/>
      <c r="I160" s="8">
        <v>81.42</v>
      </c>
    </row>
    <row r="161" s="1" customFormat="1" ht="23" customHeight="1" spans="1:9">
      <c r="A161" s="7" t="str">
        <f>"20030412920"</f>
        <v>20030412920</v>
      </c>
      <c r="B161" s="7" t="str">
        <f t="shared" ref="B161:B193" si="6">"2003"</f>
        <v>2003</v>
      </c>
      <c r="C161" s="7" t="str">
        <f>"黄金枫"</f>
        <v>黄金枫</v>
      </c>
      <c r="D161" s="7">
        <v>7</v>
      </c>
      <c r="E161" s="7">
        <v>1</v>
      </c>
      <c r="F161" s="7" t="s">
        <v>10</v>
      </c>
      <c r="G161" s="8">
        <v>80.24</v>
      </c>
      <c r="H161" s="7"/>
      <c r="I161" s="8">
        <v>80.24</v>
      </c>
    </row>
    <row r="162" s="1" customFormat="1" ht="23" customHeight="1" spans="1:9">
      <c r="A162" s="7" t="str">
        <f>"20030414030"</f>
        <v>20030414030</v>
      </c>
      <c r="B162" s="7" t="str">
        <f t="shared" si="6"/>
        <v>2003</v>
      </c>
      <c r="C162" s="7" t="str">
        <f>"金硕"</f>
        <v>金硕</v>
      </c>
      <c r="D162" s="7">
        <v>7</v>
      </c>
      <c r="E162" s="7">
        <v>2</v>
      </c>
      <c r="F162" s="7" t="s">
        <v>10</v>
      </c>
      <c r="G162" s="8">
        <v>82.46</v>
      </c>
      <c r="H162" s="7"/>
      <c r="I162" s="8">
        <v>82.46</v>
      </c>
    </row>
    <row r="163" s="1" customFormat="1" ht="23" customHeight="1" spans="1:9">
      <c r="A163" s="7" t="str">
        <f>"20030413915"</f>
        <v>20030413915</v>
      </c>
      <c r="B163" s="7" t="str">
        <f t="shared" si="6"/>
        <v>2003</v>
      </c>
      <c r="C163" s="7" t="str">
        <f>"宋江倩"</f>
        <v>宋江倩</v>
      </c>
      <c r="D163" s="7">
        <v>7</v>
      </c>
      <c r="E163" s="7">
        <v>3</v>
      </c>
      <c r="F163" s="7" t="s">
        <v>10</v>
      </c>
      <c r="G163" s="8">
        <v>80.98</v>
      </c>
      <c r="H163" s="7"/>
      <c r="I163" s="8">
        <v>80.98</v>
      </c>
    </row>
    <row r="164" s="1" customFormat="1" ht="23" customHeight="1" spans="1:9">
      <c r="A164" s="7" t="str">
        <f>"20030412830"</f>
        <v>20030412830</v>
      </c>
      <c r="B164" s="7" t="str">
        <f t="shared" si="6"/>
        <v>2003</v>
      </c>
      <c r="C164" s="7" t="str">
        <f>"苗梦"</f>
        <v>苗梦</v>
      </c>
      <c r="D164" s="7">
        <v>7</v>
      </c>
      <c r="E164" s="7">
        <v>4</v>
      </c>
      <c r="F164" s="7" t="s">
        <v>10</v>
      </c>
      <c r="G164" s="8">
        <v>83.7</v>
      </c>
      <c r="H164" s="7"/>
      <c r="I164" s="8">
        <v>83.7</v>
      </c>
    </row>
    <row r="165" s="1" customFormat="1" ht="23" customHeight="1" spans="1:9">
      <c r="A165" s="7" t="str">
        <f>"20030413914"</f>
        <v>20030413914</v>
      </c>
      <c r="B165" s="7" t="str">
        <f t="shared" si="6"/>
        <v>2003</v>
      </c>
      <c r="C165" s="7" t="str">
        <f>"王清月"</f>
        <v>王清月</v>
      </c>
      <c r="D165" s="7">
        <v>7</v>
      </c>
      <c r="E165" s="7">
        <v>5</v>
      </c>
      <c r="F165" s="7" t="s">
        <v>10</v>
      </c>
      <c r="G165" s="8">
        <v>83.26</v>
      </c>
      <c r="H165" s="7"/>
      <c r="I165" s="8">
        <v>83.26</v>
      </c>
    </row>
    <row r="166" s="1" customFormat="1" ht="23" customHeight="1" spans="1:9">
      <c r="A166" s="7" t="str">
        <f>"20030414208"</f>
        <v>20030414208</v>
      </c>
      <c r="B166" s="7" t="str">
        <f t="shared" si="6"/>
        <v>2003</v>
      </c>
      <c r="C166" s="7" t="str">
        <f>"余艺"</f>
        <v>余艺</v>
      </c>
      <c r="D166" s="7">
        <v>7</v>
      </c>
      <c r="E166" s="7">
        <v>6</v>
      </c>
      <c r="F166" s="7" t="s">
        <v>10</v>
      </c>
      <c r="G166" s="8">
        <v>81.36</v>
      </c>
      <c r="H166" s="7"/>
      <c r="I166" s="8">
        <v>81.36</v>
      </c>
    </row>
    <row r="167" s="1" customFormat="1" ht="23" customHeight="1" spans="1:9">
      <c r="A167" s="7" t="str">
        <f>"20030413003"</f>
        <v>20030413003</v>
      </c>
      <c r="B167" s="7" t="str">
        <f t="shared" si="6"/>
        <v>2003</v>
      </c>
      <c r="C167" s="7" t="str">
        <f>"何彦霓"</f>
        <v>何彦霓</v>
      </c>
      <c r="D167" s="7">
        <v>7</v>
      </c>
      <c r="E167" s="7">
        <v>7</v>
      </c>
      <c r="F167" s="7" t="s">
        <v>10</v>
      </c>
      <c r="G167" s="8">
        <v>83.28</v>
      </c>
      <c r="H167" s="7"/>
      <c r="I167" s="8">
        <v>83.28</v>
      </c>
    </row>
    <row r="168" s="1" customFormat="1" ht="23" customHeight="1" spans="1:9">
      <c r="A168" s="7" t="str">
        <f>"20030413720"</f>
        <v>20030413720</v>
      </c>
      <c r="B168" s="7" t="str">
        <f t="shared" si="6"/>
        <v>2003</v>
      </c>
      <c r="C168" s="7" t="str">
        <f>"王梦华"</f>
        <v>王梦华</v>
      </c>
      <c r="D168" s="7">
        <v>7</v>
      </c>
      <c r="E168" s="7">
        <v>8</v>
      </c>
      <c r="F168" s="7" t="s">
        <v>10</v>
      </c>
      <c r="G168" s="8">
        <v>82.18</v>
      </c>
      <c r="H168" s="7"/>
      <c r="I168" s="8">
        <v>82.18</v>
      </c>
    </row>
    <row r="169" s="1" customFormat="1" ht="23" customHeight="1" spans="1:9">
      <c r="A169" s="7" t="str">
        <f>"20030413324"</f>
        <v>20030413324</v>
      </c>
      <c r="B169" s="7" t="str">
        <f t="shared" si="6"/>
        <v>2003</v>
      </c>
      <c r="C169" s="7" t="str">
        <f>"苏丹阳"</f>
        <v>苏丹阳</v>
      </c>
      <c r="D169" s="7">
        <v>7</v>
      </c>
      <c r="E169" s="7">
        <v>9</v>
      </c>
      <c r="F169" s="7" t="s">
        <v>10</v>
      </c>
      <c r="G169" s="8">
        <v>83.34</v>
      </c>
      <c r="H169" s="7"/>
      <c r="I169" s="8">
        <v>83.34</v>
      </c>
    </row>
    <row r="170" s="1" customFormat="1" ht="23" customHeight="1" spans="1:9">
      <c r="A170" s="7" t="str">
        <f>"20030413513"</f>
        <v>20030413513</v>
      </c>
      <c r="B170" s="7" t="str">
        <f t="shared" si="6"/>
        <v>2003</v>
      </c>
      <c r="C170" s="7" t="str">
        <f>"李璐"</f>
        <v>李璐</v>
      </c>
      <c r="D170" s="7">
        <v>7</v>
      </c>
      <c r="E170" s="7">
        <v>10</v>
      </c>
      <c r="F170" s="7" t="s">
        <v>10</v>
      </c>
      <c r="G170" s="8">
        <v>82.2</v>
      </c>
      <c r="H170" s="7"/>
      <c r="I170" s="8">
        <v>82.2</v>
      </c>
    </row>
    <row r="171" s="1" customFormat="1" ht="23" customHeight="1" spans="1:9">
      <c r="A171" s="7" t="str">
        <f>"20030413706"</f>
        <v>20030413706</v>
      </c>
      <c r="B171" s="7" t="str">
        <f t="shared" si="6"/>
        <v>2003</v>
      </c>
      <c r="C171" s="7" t="str">
        <f>"王盼"</f>
        <v>王盼</v>
      </c>
      <c r="D171" s="7">
        <v>7</v>
      </c>
      <c r="E171" s="7">
        <v>11</v>
      </c>
      <c r="F171" s="7" t="s">
        <v>10</v>
      </c>
      <c r="G171" s="8">
        <v>82.88</v>
      </c>
      <c r="H171" s="7"/>
      <c r="I171" s="8">
        <v>82.88</v>
      </c>
    </row>
    <row r="172" s="1" customFormat="1" ht="23" customHeight="1" spans="1:9">
      <c r="A172" s="7" t="str">
        <f>"20030413302"</f>
        <v>20030413302</v>
      </c>
      <c r="B172" s="7" t="str">
        <f t="shared" si="6"/>
        <v>2003</v>
      </c>
      <c r="C172" s="7" t="str">
        <f>"张金梅"</f>
        <v>张金梅</v>
      </c>
      <c r="D172" s="7">
        <v>7</v>
      </c>
      <c r="E172" s="7">
        <v>12</v>
      </c>
      <c r="F172" s="7" t="s">
        <v>10</v>
      </c>
      <c r="G172" s="8">
        <v>78.34</v>
      </c>
      <c r="H172" s="7"/>
      <c r="I172" s="8">
        <v>78.34</v>
      </c>
    </row>
    <row r="173" s="1" customFormat="1" ht="23" customHeight="1" spans="1:9">
      <c r="A173" s="7" t="str">
        <f>"20030413807"</f>
        <v>20030413807</v>
      </c>
      <c r="B173" s="7" t="str">
        <f t="shared" si="6"/>
        <v>2003</v>
      </c>
      <c r="C173" s="7" t="str">
        <f>"李怡怡"</f>
        <v>李怡怡</v>
      </c>
      <c r="D173" s="7">
        <v>7</v>
      </c>
      <c r="E173" s="7">
        <v>13</v>
      </c>
      <c r="F173" s="7" t="s">
        <v>10</v>
      </c>
      <c r="G173" s="8">
        <v>82.5</v>
      </c>
      <c r="H173" s="7"/>
      <c r="I173" s="8">
        <v>82.5</v>
      </c>
    </row>
    <row r="174" s="1" customFormat="1" ht="23" customHeight="1" spans="1:9">
      <c r="A174" s="7" t="str">
        <f>"20030413811"</f>
        <v>20030413811</v>
      </c>
      <c r="B174" s="7" t="str">
        <f t="shared" si="6"/>
        <v>2003</v>
      </c>
      <c r="C174" s="7" t="str">
        <f>"仝欢"</f>
        <v>仝欢</v>
      </c>
      <c r="D174" s="7">
        <v>7</v>
      </c>
      <c r="E174" s="7">
        <v>14</v>
      </c>
      <c r="F174" s="7" t="s">
        <v>10</v>
      </c>
      <c r="G174" s="8">
        <v>83.08</v>
      </c>
      <c r="H174" s="7"/>
      <c r="I174" s="8">
        <v>83.08</v>
      </c>
    </row>
    <row r="175" s="1" customFormat="1" ht="23" customHeight="1" spans="1:9">
      <c r="A175" s="7" t="str">
        <f>"20030413314"</f>
        <v>20030413314</v>
      </c>
      <c r="B175" s="7" t="str">
        <f t="shared" si="6"/>
        <v>2003</v>
      </c>
      <c r="C175" s="7" t="str">
        <f>"张长乐"</f>
        <v>张长乐</v>
      </c>
      <c r="D175" s="7">
        <v>7</v>
      </c>
      <c r="E175" s="7">
        <v>15</v>
      </c>
      <c r="F175" s="7" t="s">
        <v>10</v>
      </c>
      <c r="G175" s="8">
        <v>81.06</v>
      </c>
      <c r="H175" s="7"/>
      <c r="I175" s="8">
        <v>81.06</v>
      </c>
    </row>
    <row r="176" s="1" customFormat="1" ht="23" customHeight="1" spans="1:9">
      <c r="A176" s="7" t="str">
        <f>"20030413423"</f>
        <v>20030413423</v>
      </c>
      <c r="B176" s="7" t="str">
        <f t="shared" si="6"/>
        <v>2003</v>
      </c>
      <c r="C176" s="7" t="str">
        <f>"李静雅"</f>
        <v>李静雅</v>
      </c>
      <c r="D176" s="7">
        <v>7</v>
      </c>
      <c r="E176" s="7">
        <v>16</v>
      </c>
      <c r="F176" s="7" t="s">
        <v>10</v>
      </c>
      <c r="G176" s="8">
        <v>82</v>
      </c>
      <c r="H176" s="7"/>
      <c r="I176" s="8">
        <v>82</v>
      </c>
    </row>
    <row r="177" s="1" customFormat="1" ht="23" customHeight="1" spans="1:9">
      <c r="A177" s="7" t="str">
        <f>"20030414224"</f>
        <v>20030414224</v>
      </c>
      <c r="B177" s="7" t="str">
        <f t="shared" si="6"/>
        <v>2003</v>
      </c>
      <c r="C177" s="7" t="str">
        <f>"牛佳欣"</f>
        <v>牛佳欣</v>
      </c>
      <c r="D177" s="7">
        <v>7</v>
      </c>
      <c r="E177" s="7">
        <v>17</v>
      </c>
      <c r="F177" s="7" t="s">
        <v>10</v>
      </c>
      <c r="G177" s="8">
        <v>82.38</v>
      </c>
      <c r="H177" s="7"/>
      <c r="I177" s="8">
        <v>82.38</v>
      </c>
    </row>
    <row r="178" s="1" customFormat="1" ht="23" customHeight="1" spans="1:9">
      <c r="A178" s="7" t="str">
        <f>"20030413126"</f>
        <v>20030413126</v>
      </c>
      <c r="B178" s="7" t="str">
        <f t="shared" si="6"/>
        <v>2003</v>
      </c>
      <c r="C178" s="7" t="str">
        <f>"彭双"</f>
        <v>彭双</v>
      </c>
      <c r="D178" s="7">
        <v>7</v>
      </c>
      <c r="E178" s="7">
        <v>18</v>
      </c>
      <c r="F178" s="7" t="s">
        <v>10</v>
      </c>
      <c r="G178" s="8">
        <v>81.18</v>
      </c>
      <c r="H178" s="7"/>
      <c r="I178" s="8">
        <v>81.18</v>
      </c>
    </row>
    <row r="179" s="1" customFormat="1" ht="23" customHeight="1" spans="1:9">
      <c r="A179" s="7" t="str">
        <f>"20030414209"</f>
        <v>20030414209</v>
      </c>
      <c r="B179" s="7" t="str">
        <f t="shared" si="6"/>
        <v>2003</v>
      </c>
      <c r="C179" s="7" t="str">
        <f>"张伟健"</f>
        <v>张伟健</v>
      </c>
      <c r="D179" s="7">
        <v>7</v>
      </c>
      <c r="E179" s="7">
        <v>19</v>
      </c>
      <c r="F179" s="7" t="s">
        <v>10</v>
      </c>
      <c r="G179" s="8">
        <v>82.5</v>
      </c>
      <c r="H179" s="7"/>
      <c r="I179" s="8">
        <v>82.5</v>
      </c>
    </row>
    <row r="180" s="1" customFormat="1" ht="23" customHeight="1" spans="1:9">
      <c r="A180" s="7" t="str">
        <f>"20030413412"</f>
        <v>20030413412</v>
      </c>
      <c r="B180" s="7" t="str">
        <f t="shared" si="6"/>
        <v>2003</v>
      </c>
      <c r="C180" s="7" t="str">
        <f>"高慧杰"</f>
        <v>高慧杰</v>
      </c>
      <c r="D180" s="7">
        <v>7</v>
      </c>
      <c r="E180" s="7">
        <v>20</v>
      </c>
      <c r="F180" s="7" t="s">
        <v>10</v>
      </c>
      <c r="G180" s="8">
        <v>80.92</v>
      </c>
      <c r="H180" s="7"/>
      <c r="I180" s="8">
        <v>80.92</v>
      </c>
    </row>
    <row r="181" s="1" customFormat="1" ht="23" customHeight="1" spans="1:9">
      <c r="A181" s="7" t="str">
        <f>"20030413929"</f>
        <v>20030413929</v>
      </c>
      <c r="B181" s="7" t="str">
        <f t="shared" si="6"/>
        <v>2003</v>
      </c>
      <c r="C181" s="7" t="str">
        <f>"许晨阳"</f>
        <v>许晨阳</v>
      </c>
      <c r="D181" s="7">
        <v>7</v>
      </c>
      <c r="E181" s="7">
        <v>21</v>
      </c>
      <c r="F181" s="7" t="s">
        <v>10</v>
      </c>
      <c r="G181" s="8">
        <v>82.72</v>
      </c>
      <c r="H181" s="7"/>
      <c r="I181" s="8">
        <v>82.72</v>
      </c>
    </row>
    <row r="182" s="1" customFormat="1" ht="23" customHeight="1" spans="1:9">
      <c r="A182" s="7" t="str">
        <f>"20030413123"</f>
        <v>20030413123</v>
      </c>
      <c r="B182" s="7" t="str">
        <f t="shared" si="6"/>
        <v>2003</v>
      </c>
      <c r="C182" s="7" t="str">
        <f>"刘志仙"</f>
        <v>刘志仙</v>
      </c>
      <c r="D182" s="7">
        <v>7</v>
      </c>
      <c r="E182" s="7">
        <v>22</v>
      </c>
      <c r="F182" s="7" t="s">
        <v>10</v>
      </c>
      <c r="G182" s="8">
        <v>82.6</v>
      </c>
      <c r="H182" s="7"/>
      <c r="I182" s="8">
        <v>82.6</v>
      </c>
    </row>
    <row r="183" s="1" customFormat="1" ht="23" customHeight="1" spans="1:9">
      <c r="A183" s="7" t="str">
        <f>"20030413902"</f>
        <v>20030413902</v>
      </c>
      <c r="B183" s="7" t="str">
        <f t="shared" si="6"/>
        <v>2003</v>
      </c>
      <c r="C183" s="7" t="str">
        <f>"张鑫鑫"</f>
        <v>张鑫鑫</v>
      </c>
      <c r="D183" s="7">
        <v>7</v>
      </c>
      <c r="E183" s="7">
        <v>23</v>
      </c>
      <c r="F183" s="7" t="s">
        <v>10</v>
      </c>
      <c r="G183" s="8">
        <v>82.94</v>
      </c>
      <c r="H183" s="7"/>
      <c r="I183" s="8">
        <v>82.94</v>
      </c>
    </row>
    <row r="184" s="1" customFormat="1" ht="23" customHeight="1" spans="1:9">
      <c r="A184" s="7" t="str">
        <f>"20030413221"</f>
        <v>20030413221</v>
      </c>
      <c r="B184" s="7" t="str">
        <f t="shared" si="6"/>
        <v>2003</v>
      </c>
      <c r="C184" s="7" t="str">
        <f>"王晓彬"</f>
        <v>王晓彬</v>
      </c>
      <c r="D184" s="7">
        <v>7</v>
      </c>
      <c r="E184" s="7">
        <v>24</v>
      </c>
      <c r="F184" s="7" t="s">
        <v>10</v>
      </c>
      <c r="G184" s="8">
        <v>80.24</v>
      </c>
      <c r="H184" s="7"/>
      <c r="I184" s="8">
        <v>80.24</v>
      </c>
    </row>
    <row r="185" s="1" customFormat="1" ht="23" customHeight="1" spans="1:9">
      <c r="A185" s="7" t="str">
        <f>"20030414017"</f>
        <v>20030414017</v>
      </c>
      <c r="B185" s="7" t="str">
        <f t="shared" si="6"/>
        <v>2003</v>
      </c>
      <c r="C185" s="7" t="str">
        <f>"陈欣"</f>
        <v>陈欣</v>
      </c>
      <c r="D185" s="7">
        <v>7</v>
      </c>
      <c r="E185" s="7">
        <v>25</v>
      </c>
      <c r="F185" s="7" t="s">
        <v>10</v>
      </c>
      <c r="G185" s="8">
        <v>82.36</v>
      </c>
      <c r="H185" s="7"/>
      <c r="I185" s="8">
        <v>82.36</v>
      </c>
    </row>
    <row r="186" s="1" customFormat="1" ht="23" customHeight="1" spans="1:9">
      <c r="A186" s="7" t="str">
        <f>"20030413821"</f>
        <v>20030413821</v>
      </c>
      <c r="B186" s="7" t="str">
        <f t="shared" si="6"/>
        <v>2003</v>
      </c>
      <c r="C186" s="7" t="str">
        <f>"李静"</f>
        <v>李静</v>
      </c>
      <c r="D186" s="7">
        <v>7</v>
      </c>
      <c r="E186" s="7">
        <v>26</v>
      </c>
      <c r="F186" s="7" t="s">
        <v>10</v>
      </c>
      <c r="G186" s="8">
        <v>81.54</v>
      </c>
      <c r="H186" s="7"/>
      <c r="I186" s="8">
        <v>81.54</v>
      </c>
    </row>
    <row r="187" s="1" customFormat="1" ht="23" customHeight="1" spans="1:9">
      <c r="A187" s="7" t="str">
        <f>"20030414204"</f>
        <v>20030414204</v>
      </c>
      <c r="B187" s="7" t="str">
        <f t="shared" si="6"/>
        <v>2003</v>
      </c>
      <c r="C187" s="7" t="str">
        <f>"张永音"</f>
        <v>张永音</v>
      </c>
      <c r="D187" s="7">
        <v>7</v>
      </c>
      <c r="E187" s="7">
        <v>27</v>
      </c>
      <c r="F187" s="7" t="s">
        <v>10</v>
      </c>
      <c r="G187" s="8">
        <v>83.08</v>
      </c>
      <c r="H187" s="7"/>
      <c r="I187" s="8">
        <v>83.08</v>
      </c>
    </row>
    <row r="188" s="1" customFormat="1" ht="23" customHeight="1" spans="1:9">
      <c r="A188" s="7" t="str">
        <f>"20030413109"</f>
        <v>20030413109</v>
      </c>
      <c r="B188" s="7" t="str">
        <f t="shared" si="6"/>
        <v>2003</v>
      </c>
      <c r="C188" s="7" t="str">
        <f>"陈雅楠"</f>
        <v>陈雅楠</v>
      </c>
      <c r="D188" s="7">
        <v>7</v>
      </c>
      <c r="E188" s="7">
        <v>28</v>
      </c>
      <c r="F188" s="7" t="s">
        <v>10</v>
      </c>
      <c r="G188" s="8">
        <v>83.58</v>
      </c>
      <c r="H188" s="7"/>
      <c r="I188" s="8">
        <v>83.58</v>
      </c>
    </row>
    <row r="189" s="1" customFormat="1" ht="23" customHeight="1" spans="1:9">
      <c r="A189" s="7" t="str">
        <f>"20030413816"</f>
        <v>20030413816</v>
      </c>
      <c r="B189" s="7" t="str">
        <f t="shared" si="6"/>
        <v>2003</v>
      </c>
      <c r="C189" s="7" t="str">
        <f>"李雪"</f>
        <v>李雪</v>
      </c>
      <c r="D189" s="7">
        <v>7</v>
      </c>
      <c r="E189" s="7">
        <v>29</v>
      </c>
      <c r="F189" s="7" t="s">
        <v>10</v>
      </c>
      <c r="G189" s="8">
        <v>83.14</v>
      </c>
      <c r="H189" s="7"/>
      <c r="I189" s="8">
        <v>83.14</v>
      </c>
    </row>
    <row r="190" s="1" customFormat="1" ht="23" customHeight="1" spans="1:9">
      <c r="A190" s="7" t="str">
        <f>"20030414016"</f>
        <v>20030414016</v>
      </c>
      <c r="B190" s="7" t="str">
        <f t="shared" si="6"/>
        <v>2003</v>
      </c>
      <c r="C190" s="7" t="str">
        <f>"王依婷"</f>
        <v>王依婷</v>
      </c>
      <c r="D190" s="7">
        <v>7</v>
      </c>
      <c r="E190" s="7">
        <v>30</v>
      </c>
      <c r="F190" s="7" t="s">
        <v>10</v>
      </c>
      <c r="G190" s="8">
        <v>81.7</v>
      </c>
      <c r="H190" s="7"/>
      <c r="I190" s="8">
        <v>81.7</v>
      </c>
    </row>
    <row r="191" s="1" customFormat="1" ht="23" customHeight="1" spans="1:9">
      <c r="A191" s="7" t="str">
        <f>"20030413215"</f>
        <v>20030413215</v>
      </c>
      <c r="B191" s="7" t="str">
        <f t="shared" si="6"/>
        <v>2003</v>
      </c>
      <c r="C191" s="7" t="str">
        <f>"李楠"</f>
        <v>李楠</v>
      </c>
      <c r="D191" s="7">
        <v>7</v>
      </c>
      <c r="E191" s="7">
        <v>31</v>
      </c>
      <c r="F191" s="7" t="s">
        <v>10</v>
      </c>
      <c r="G191" s="8">
        <v>82.1</v>
      </c>
      <c r="H191" s="7"/>
      <c r="I191" s="8">
        <v>82.1</v>
      </c>
    </row>
    <row r="192" s="1" customFormat="1" ht="23" customHeight="1" spans="1:9">
      <c r="A192" s="7" t="str">
        <f>"20030413930"</f>
        <v>20030413930</v>
      </c>
      <c r="B192" s="7" t="str">
        <f t="shared" si="6"/>
        <v>2003</v>
      </c>
      <c r="C192" s="7" t="str">
        <f>"乔聪聪"</f>
        <v>乔聪聪</v>
      </c>
      <c r="D192" s="7">
        <v>7</v>
      </c>
      <c r="E192" s="7" t="s">
        <v>11</v>
      </c>
      <c r="F192" s="7" t="s">
        <v>10</v>
      </c>
      <c r="G192" s="8" t="s">
        <v>11</v>
      </c>
      <c r="H192" s="7"/>
      <c r="I192" s="8" t="s">
        <v>11</v>
      </c>
    </row>
    <row r="193" s="1" customFormat="1" ht="23" customHeight="1" spans="1:9">
      <c r="A193" s="7" t="str">
        <f>"20030414113"</f>
        <v>20030414113</v>
      </c>
      <c r="B193" s="7" t="str">
        <f t="shared" si="6"/>
        <v>2003</v>
      </c>
      <c r="C193" s="7" t="str">
        <f>"徐晨露"</f>
        <v>徐晨露</v>
      </c>
      <c r="D193" s="7">
        <v>7</v>
      </c>
      <c r="E193" s="7" t="s">
        <v>11</v>
      </c>
      <c r="F193" s="7" t="s">
        <v>10</v>
      </c>
      <c r="G193" s="8" t="s">
        <v>11</v>
      </c>
      <c r="H193" s="7"/>
      <c r="I193" s="8" t="s">
        <v>11</v>
      </c>
    </row>
    <row r="194" s="1" customFormat="1" ht="23" customHeight="1" spans="1:9">
      <c r="A194" s="7" t="str">
        <f>"30030620115"</f>
        <v>30030620115</v>
      </c>
      <c r="B194" s="7" t="str">
        <f t="shared" ref="B194:B211" si="7">"3003"</f>
        <v>3003</v>
      </c>
      <c r="C194" s="7" t="str">
        <f>"张雨"</f>
        <v>张雨</v>
      </c>
      <c r="D194" s="7">
        <v>8</v>
      </c>
      <c r="E194" s="7">
        <v>1</v>
      </c>
      <c r="F194" s="7" t="s">
        <v>10</v>
      </c>
      <c r="G194" s="8">
        <v>84.36</v>
      </c>
      <c r="H194" s="7"/>
      <c r="I194" s="8">
        <v>84.36</v>
      </c>
    </row>
    <row r="195" s="1" customFormat="1" ht="23" customHeight="1" spans="1:9">
      <c r="A195" s="7" t="str">
        <f>"30030620411"</f>
        <v>30030620411</v>
      </c>
      <c r="B195" s="7" t="str">
        <f t="shared" si="7"/>
        <v>3003</v>
      </c>
      <c r="C195" s="7" t="str">
        <f>"王润"</f>
        <v>王润</v>
      </c>
      <c r="D195" s="7">
        <v>8</v>
      </c>
      <c r="E195" s="7">
        <v>2</v>
      </c>
      <c r="F195" s="7" t="s">
        <v>10</v>
      </c>
      <c r="G195" s="8">
        <v>82.84</v>
      </c>
      <c r="H195" s="7"/>
      <c r="I195" s="8">
        <v>82.84</v>
      </c>
    </row>
    <row r="196" s="1" customFormat="1" ht="23" customHeight="1" spans="1:9">
      <c r="A196" s="7" t="str">
        <f>"30030620219"</f>
        <v>30030620219</v>
      </c>
      <c r="B196" s="7" t="str">
        <f t="shared" si="7"/>
        <v>3003</v>
      </c>
      <c r="C196" s="7" t="str">
        <f>"刘苗苗"</f>
        <v>刘苗苗</v>
      </c>
      <c r="D196" s="7">
        <v>8</v>
      </c>
      <c r="E196" s="7">
        <v>3</v>
      </c>
      <c r="F196" s="7" t="s">
        <v>10</v>
      </c>
      <c r="G196" s="8">
        <v>80.08</v>
      </c>
      <c r="H196" s="7"/>
      <c r="I196" s="8">
        <v>80.08</v>
      </c>
    </row>
    <row r="197" s="1" customFormat="1" ht="23" customHeight="1" spans="1:9">
      <c r="A197" s="7" t="str">
        <f>"30030620118"</f>
        <v>30030620118</v>
      </c>
      <c r="B197" s="7" t="str">
        <f t="shared" si="7"/>
        <v>3003</v>
      </c>
      <c r="C197" s="7" t="str">
        <f>"欧悦"</f>
        <v>欧悦</v>
      </c>
      <c r="D197" s="7">
        <v>8</v>
      </c>
      <c r="E197" s="7">
        <v>4</v>
      </c>
      <c r="F197" s="7" t="s">
        <v>10</v>
      </c>
      <c r="G197" s="8">
        <v>82.68</v>
      </c>
      <c r="H197" s="7"/>
      <c r="I197" s="8">
        <v>82.68</v>
      </c>
    </row>
    <row r="198" s="1" customFormat="1" ht="23" customHeight="1" spans="1:9">
      <c r="A198" s="7" t="str">
        <f>"30030619929"</f>
        <v>30030619929</v>
      </c>
      <c r="B198" s="7" t="str">
        <f t="shared" si="7"/>
        <v>3003</v>
      </c>
      <c r="C198" s="7" t="str">
        <f>"张琳丛"</f>
        <v>张琳丛</v>
      </c>
      <c r="D198" s="7">
        <v>8</v>
      </c>
      <c r="E198" s="7">
        <v>5</v>
      </c>
      <c r="F198" s="7" t="s">
        <v>10</v>
      </c>
      <c r="G198" s="8">
        <v>84.5</v>
      </c>
      <c r="H198" s="7"/>
      <c r="I198" s="8">
        <v>84.5</v>
      </c>
    </row>
    <row r="199" s="1" customFormat="1" ht="23" customHeight="1" spans="1:9">
      <c r="A199" s="7" t="str">
        <f>"30030620528"</f>
        <v>30030620528</v>
      </c>
      <c r="B199" s="7" t="str">
        <f t="shared" si="7"/>
        <v>3003</v>
      </c>
      <c r="C199" s="7" t="str">
        <f>"杜云鹏"</f>
        <v>杜云鹏</v>
      </c>
      <c r="D199" s="7">
        <v>8</v>
      </c>
      <c r="E199" s="7">
        <v>6</v>
      </c>
      <c r="F199" s="7" t="s">
        <v>10</v>
      </c>
      <c r="G199" s="8">
        <v>81.34</v>
      </c>
      <c r="H199" s="7"/>
      <c r="I199" s="8">
        <v>81.34</v>
      </c>
    </row>
    <row r="200" s="1" customFormat="1" ht="23" customHeight="1" spans="1:9">
      <c r="A200" s="7" t="str">
        <f>"30030620404"</f>
        <v>30030620404</v>
      </c>
      <c r="B200" s="7" t="str">
        <f t="shared" si="7"/>
        <v>3003</v>
      </c>
      <c r="C200" s="7" t="str">
        <f>"许慧洋"</f>
        <v>许慧洋</v>
      </c>
      <c r="D200" s="7">
        <v>8</v>
      </c>
      <c r="E200" s="7">
        <v>7</v>
      </c>
      <c r="F200" s="7" t="s">
        <v>10</v>
      </c>
      <c r="G200" s="8">
        <v>84.66</v>
      </c>
      <c r="H200" s="7"/>
      <c r="I200" s="8">
        <v>84.66</v>
      </c>
    </row>
    <row r="201" s="1" customFormat="1" ht="23" customHeight="1" spans="1:9">
      <c r="A201" s="7" t="str">
        <f>"30030620114"</f>
        <v>30030620114</v>
      </c>
      <c r="B201" s="7" t="str">
        <f t="shared" si="7"/>
        <v>3003</v>
      </c>
      <c r="C201" s="7" t="str">
        <f>"窦唯一"</f>
        <v>窦唯一</v>
      </c>
      <c r="D201" s="7">
        <v>8</v>
      </c>
      <c r="E201" s="7">
        <v>8</v>
      </c>
      <c r="F201" s="7" t="s">
        <v>10</v>
      </c>
      <c r="G201" s="8">
        <v>83.8</v>
      </c>
      <c r="H201" s="7"/>
      <c r="I201" s="8">
        <v>83.8</v>
      </c>
    </row>
    <row r="202" s="1" customFormat="1" ht="23" customHeight="1" spans="1:9">
      <c r="A202" s="7" t="str">
        <f>"30030620327"</f>
        <v>30030620327</v>
      </c>
      <c r="B202" s="7" t="str">
        <f t="shared" si="7"/>
        <v>3003</v>
      </c>
      <c r="C202" s="7" t="str">
        <f>"唐雪梅"</f>
        <v>唐雪梅</v>
      </c>
      <c r="D202" s="7">
        <v>8</v>
      </c>
      <c r="E202" s="7">
        <v>9</v>
      </c>
      <c r="F202" s="7" t="s">
        <v>10</v>
      </c>
      <c r="G202" s="8">
        <v>83.46</v>
      </c>
      <c r="H202" s="7"/>
      <c r="I202" s="8">
        <v>83.46</v>
      </c>
    </row>
    <row r="203" s="1" customFormat="1" ht="23" customHeight="1" spans="1:9">
      <c r="A203" s="7" t="str">
        <f>"30030619715"</f>
        <v>30030619715</v>
      </c>
      <c r="B203" s="7" t="str">
        <f t="shared" si="7"/>
        <v>3003</v>
      </c>
      <c r="C203" s="7" t="str">
        <f>"岳珍珍"</f>
        <v>岳珍珍</v>
      </c>
      <c r="D203" s="7">
        <v>8</v>
      </c>
      <c r="E203" s="7">
        <v>10</v>
      </c>
      <c r="F203" s="7" t="s">
        <v>10</v>
      </c>
      <c r="G203" s="8">
        <v>84.28</v>
      </c>
      <c r="H203" s="7"/>
      <c r="I203" s="8">
        <v>84.28</v>
      </c>
    </row>
    <row r="204" s="1" customFormat="1" ht="23" customHeight="1" spans="1:9">
      <c r="A204" s="7" t="str">
        <f>"30030620109"</f>
        <v>30030620109</v>
      </c>
      <c r="B204" s="7" t="str">
        <f t="shared" si="7"/>
        <v>3003</v>
      </c>
      <c r="C204" s="7" t="str">
        <f>"徐嘉慧"</f>
        <v>徐嘉慧</v>
      </c>
      <c r="D204" s="7">
        <v>8</v>
      </c>
      <c r="E204" s="7">
        <v>11</v>
      </c>
      <c r="F204" s="7" t="s">
        <v>10</v>
      </c>
      <c r="G204" s="8">
        <v>83.32</v>
      </c>
      <c r="H204" s="7"/>
      <c r="I204" s="8">
        <v>83.32</v>
      </c>
    </row>
    <row r="205" s="1" customFormat="1" ht="23" customHeight="1" spans="1:9">
      <c r="A205" s="7" t="str">
        <f>"30030620101"</f>
        <v>30030620101</v>
      </c>
      <c r="B205" s="7" t="str">
        <f t="shared" si="7"/>
        <v>3003</v>
      </c>
      <c r="C205" s="7" t="str">
        <f>"司宇鹏"</f>
        <v>司宇鹏</v>
      </c>
      <c r="D205" s="7">
        <v>8</v>
      </c>
      <c r="E205" s="7">
        <v>12</v>
      </c>
      <c r="F205" s="7" t="s">
        <v>10</v>
      </c>
      <c r="G205" s="8">
        <v>83.96</v>
      </c>
      <c r="H205" s="7"/>
      <c r="I205" s="8">
        <v>83.96</v>
      </c>
    </row>
    <row r="206" s="1" customFormat="1" ht="23" customHeight="1" spans="1:9">
      <c r="A206" s="7" t="str">
        <f>"30030620407"</f>
        <v>30030620407</v>
      </c>
      <c r="B206" s="7" t="str">
        <f t="shared" si="7"/>
        <v>3003</v>
      </c>
      <c r="C206" s="7" t="str">
        <f>"侯玉婷"</f>
        <v>侯玉婷</v>
      </c>
      <c r="D206" s="7">
        <v>8</v>
      </c>
      <c r="E206" s="7">
        <v>13</v>
      </c>
      <c r="F206" s="7" t="s">
        <v>10</v>
      </c>
      <c r="G206" s="8">
        <v>82.98</v>
      </c>
      <c r="H206" s="7"/>
      <c r="I206" s="8">
        <v>82.98</v>
      </c>
    </row>
    <row r="207" s="1" customFormat="1" ht="23" customHeight="1" spans="1:9">
      <c r="A207" s="7" t="str">
        <f>"30030620421"</f>
        <v>30030620421</v>
      </c>
      <c r="B207" s="7" t="str">
        <f t="shared" si="7"/>
        <v>3003</v>
      </c>
      <c r="C207" s="7" t="str">
        <f>"刘琳"</f>
        <v>刘琳</v>
      </c>
      <c r="D207" s="7">
        <v>8</v>
      </c>
      <c r="E207" s="7">
        <v>14</v>
      </c>
      <c r="F207" s="7" t="s">
        <v>10</v>
      </c>
      <c r="G207" s="8">
        <v>82.24</v>
      </c>
      <c r="H207" s="7"/>
      <c r="I207" s="8">
        <v>82.24</v>
      </c>
    </row>
    <row r="208" s="1" customFormat="1" ht="23" customHeight="1" spans="1:9">
      <c r="A208" s="7" t="str">
        <f>"30030620321"</f>
        <v>30030620321</v>
      </c>
      <c r="B208" s="7" t="str">
        <f t="shared" si="7"/>
        <v>3003</v>
      </c>
      <c r="C208" s="7" t="str">
        <f>"赵梦卓"</f>
        <v>赵梦卓</v>
      </c>
      <c r="D208" s="7">
        <v>8</v>
      </c>
      <c r="E208" s="7">
        <v>15</v>
      </c>
      <c r="F208" s="7" t="s">
        <v>10</v>
      </c>
      <c r="G208" s="8">
        <v>83.68</v>
      </c>
      <c r="H208" s="7"/>
      <c r="I208" s="8">
        <v>83.68</v>
      </c>
    </row>
    <row r="209" s="1" customFormat="1" ht="23" customHeight="1" spans="1:9">
      <c r="A209" s="7" t="str">
        <f>"30030619725"</f>
        <v>30030619725</v>
      </c>
      <c r="B209" s="7" t="str">
        <f t="shared" si="7"/>
        <v>3003</v>
      </c>
      <c r="C209" s="7" t="str">
        <f>"钟一帆"</f>
        <v>钟一帆</v>
      </c>
      <c r="D209" s="7">
        <v>8</v>
      </c>
      <c r="E209" s="7">
        <v>16</v>
      </c>
      <c r="F209" s="7" t="s">
        <v>10</v>
      </c>
      <c r="G209" s="8">
        <v>81.8</v>
      </c>
      <c r="H209" s="7"/>
      <c r="I209" s="8">
        <v>81.8</v>
      </c>
    </row>
    <row r="210" s="1" customFormat="1" ht="23" customHeight="1" spans="1:9">
      <c r="A210" s="7" t="str">
        <f>"30030620224"</f>
        <v>30030620224</v>
      </c>
      <c r="B210" s="7" t="str">
        <f t="shared" si="7"/>
        <v>3003</v>
      </c>
      <c r="C210" s="7" t="str">
        <f>"张鑫"</f>
        <v>张鑫</v>
      </c>
      <c r="D210" s="7">
        <v>8</v>
      </c>
      <c r="E210" s="7" t="s">
        <v>11</v>
      </c>
      <c r="F210" s="7" t="s">
        <v>10</v>
      </c>
      <c r="G210" s="8" t="s">
        <v>11</v>
      </c>
      <c r="H210" s="7"/>
      <c r="I210" s="8" t="s">
        <v>11</v>
      </c>
    </row>
    <row r="211" s="1" customFormat="1" ht="23" customHeight="1" spans="1:9">
      <c r="A211" s="7" t="str">
        <f>"30030620313"</f>
        <v>30030620313</v>
      </c>
      <c r="B211" s="7" t="str">
        <f t="shared" si="7"/>
        <v>3003</v>
      </c>
      <c r="C211" s="7" t="str">
        <f>"赵亚倩"</f>
        <v>赵亚倩</v>
      </c>
      <c r="D211" s="7">
        <v>8</v>
      </c>
      <c r="E211" s="7" t="s">
        <v>11</v>
      </c>
      <c r="F211" s="7" t="s">
        <v>10</v>
      </c>
      <c r="G211" s="8" t="s">
        <v>11</v>
      </c>
      <c r="H211" s="7"/>
      <c r="I211" s="8" t="s">
        <v>11</v>
      </c>
    </row>
    <row r="212" s="1" customFormat="1" ht="23" customHeight="1" spans="1:9">
      <c r="A212" s="7" t="str">
        <f>"50030831417"</f>
        <v>50030831417</v>
      </c>
      <c r="B212" s="7" t="str">
        <f>"5003"</f>
        <v>5003</v>
      </c>
      <c r="C212" s="7" t="str">
        <f>"陈焕"</f>
        <v>陈焕</v>
      </c>
      <c r="D212" s="7">
        <v>9</v>
      </c>
      <c r="E212" s="7">
        <v>1</v>
      </c>
      <c r="F212" s="7" t="s">
        <v>10</v>
      </c>
      <c r="G212" s="8">
        <v>82.84</v>
      </c>
      <c r="H212" s="7"/>
      <c r="I212" s="8">
        <v>82.84</v>
      </c>
    </row>
    <row r="213" s="1" customFormat="1" ht="23" customHeight="1" spans="1:9">
      <c r="A213" s="7" t="str">
        <f>"50030831512"</f>
        <v>50030831512</v>
      </c>
      <c r="B213" s="7" t="str">
        <f>"5003"</f>
        <v>5003</v>
      </c>
      <c r="C213" s="7" t="str">
        <f>"张海涵"</f>
        <v>张海涵</v>
      </c>
      <c r="D213" s="7">
        <v>9</v>
      </c>
      <c r="E213" s="7">
        <v>2</v>
      </c>
      <c r="F213" s="7" t="s">
        <v>10</v>
      </c>
      <c r="G213" s="8">
        <v>85.54</v>
      </c>
      <c r="H213" s="7"/>
      <c r="I213" s="8">
        <v>85.54</v>
      </c>
    </row>
    <row r="214" s="1" customFormat="1" ht="23" customHeight="1" spans="1:9">
      <c r="A214" s="7" t="str">
        <f>"60030934403"</f>
        <v>60030934403</v>
      </c>
      <c r="B214" s="7" t="str">
        <f>"6003"</f>
        <v>6003</v>
      </c>
      <c r="C214" s="7" t="str">
        <f>"徐惊"</f>
        <v>徐惊</v>
      </c>
      <c r="D214" s="7">
        <v>9</v>
      </c>
      <c r="E214" s="7">
        <v>3</v>
      </c>
      <c r="F214" s="7" t="s">
        <v>10</v>
      </c>
      <c r="G214" s="8">
        <v>81.8</v>
      </c>
      <c r="H214" s="7"/>
      <c r="I214" s="8">
        <v>81.8</v>
      </c>
    </row>
    <row r="215" s="1" customFormat="1" ht="23" customHeight="1" spans="1:9">
      <c r="A215" s="7" t="str">
        <f>"50030831415"</f>
        <v>50030831415</v>
      </c>
      <c r="B215" s="7" t="str">
        <f>"5003"</f>
        <v>5003</v>
      </c>
      <c r="C215" s="7" t="str">
        <f>"尚珂怡"</f>
        <v>尚珂怡</v>
      </c>
      <c r="D215" s="7">
        <v>9</v>
      </c>
      <c r="E215" s="7">
        <v>4</v>
      </c>
      <c r="F215" s="7" t="s">
        <v>10</v>
      </c>
      <c r="G215" s="8">
        <v>82.26</v>
      </c>
      <c r="H215" s="7"/>
      <c r="I215" s="8">
        <v>82.26</v>
      </c>
    </row>
    <row r="216" s="1" customFormat="1" ht="23" customHeight="1" spans="1:9">
      <c r="A216" s="7" t="str">
        <f>"60030934323"</f>
        <v>60030934323</v>
      </c>
      <c r="B216" s="7" t="str">
        <f>"6003"</f>
        <v>6003</v>
      </c>
      <c r="C216" s="7" t="str">
        <f>"陈林琳"</f>
        <v>陈林琳</v>
      </c>
      <c r="D216" s="7">
        <v>9</v>
      </c>
      <c r="E216" s="7">
        <v>5</v>
      </c>
      <c r="F216" s="7" t="s">
        <v>10</v>
      </c>
      <c r="G216" s="8">
        <v>82.54</v>
      </c>
      <c r="H216" s="7"/>
      <c r="I216" s="8">
        <v>82.54</v>
      </c>
    </row>
    <row r="217" s="1" customFormat="1" ht="23" customHeight="1" spans="1:9">
      <c r="A217" s="7" t="str">
        <f>"50030931616"</f>
        <v>50030931616</v>
      </c>
      <c r="B217" s="7" t="str">
        <f>"5003"</f>
        <v>5003</v>
      </c>
      <c r="C217" s="7" t="str">
        <f>"张贝贝"</f>
        <v>张贝贝</v>
      </c>
      <c r="D217" s="7">
        <v>9</v>
      </c>
      <c r="E217" s="7">
        <v>6</v>
      </c>
      <c r="F217" s="7" t="s">
        <v>10</v>
      </c>
      <c r="G217" s="8">
        <v>83.16</v>
      </c>
      <c r="H217" s="7"/>
      <c r="I217" s="8">
        <v>83.16</v>
      </c>
    </row>
    <row r="218" s="1" customFormat="1" ht="23" customHeight="1" spans="1:9">
      <c r="A218" s="7" t="str">
        <f>"50030932029"</f>
        <v>50030932029</v>
      </c>
      <c r="B218" s="7" t="str">
        <f>"5003"</f>
        <v>5003</v>
      </c>
      <c r="C218" s="7" t="str">
        <f>"赵天源"</f>
        <v>赵天源</v>
      </c>
      <c r="D218" s="7">
        <v>9</v>
      </c>
      <c r="E218" s="7">
        <v>7</v>
      </c>
      <c r="F218" s="7" t="s">
        <v>10</v>
      </c>
      <c r="G218" s="8">
        <v>85.82</v>
      </c>
      <c r="H218" s="7"/>
      <c r="I218" s="8">
        <v>85.82</v>
      </c>
    </row>
    <row r="219" s="1" customFormat="1" ht="23" customHeight="1" spans="1:9">
      <c r="A219" s="7" t="str">
        <f>"50030932128"</f>
        <v>50030932128</v>
      </c>
      <c r="B219" s="7" t="str">
        <f>"5003"</f>
        <v>5003</v>
      </c>
      <c r="C219" s="7" t="str">
        <f>"吕彤彤"</f>
        <v>吕彤彤</v>
      </c>
      <c r="D219" s="7">
        <v>9</v>
      </c>
      <c r="E219" s="7">
        <v>8</v>
      </c>
      <c r="F219" s="7" t="s">
        <v>10</v>
      </c>
      <c r="G219" s="8">
        <v>82.48</v>
      </c>
      <c r="H219" s="7"/>
      <c r="I219" s="8">
        <v>82.48</v>
      </c>
    </row>
    <row r="220" s="1" customFormat="1" ht="23" customHeight="1" spans="1:9">
      <c r="A220" s="7" t="str">
        <f>"50030831514"</f>
        <v>50030831514</v>
      </c>
      <c r="B220" s="7" t="str">
        <f>"5003"</f>
        <v>5003</v>
      </c>
      <c r="C220" s="7" t="str">
        <f>"邹莹葛"</f>
        <v>邹莹葛</v>
      </c>
      <c r="D220" s="7">
        <v>9</v>
      </c>
      <c r="E220" s="7">
        <v>9</v>
      </c>
      <c r="F220" s="7" t="s">
        <v>10</v>
      </c>
      <c r="G220" s="8">
        <v>83.08</v>
      </c>
      <c r="H220" s="7"/>
      <c r="I220" s="8">
        <v>83.08</v>
      </c>
    </row>
    <row r="221" s="1" customFormat="1" ht="23" customHeight="1" spans="1:9">
      <c r="A221" s="7" t="str">
        <f>"60030934417"</f>
        <v>60030934417</v>
      </c>
      <c r="B221" s="7" t="str">
        <f>"6003"</f>
        <v>6003</v>
      </c>
      <c r="C221" s="7" t="str">
        <f>"蒋楠"</f>
        <v>蒋楠</v>
      </c>
      <c r="D221" s="7">
        <v>9</v>
      </c>
      <c r="E221" s="7">
        <v>10</v>
      </c>
      <c r="F221" s="7" t="s">
        <v>10</v>
      </c>
      <c r="G221" s="8">
        <v>82.82</v>
      </c>
      <c r="H221" s="7"/>
      <c r="I221" s="8">
        <v>82.82</v>
      </c>
    </row>
    <row r="222" s="1" customFormat="1" ht="23" customHeight="1" spans="1:9">
      <c r="A222" s="7" t="str">
        <f>"50030932204"</f>
        <v>50030932204</v>
      </c>
      <c r="B222" s="7" t="str">
        <f>"5003"</f>
        <v>5003</v>
      </c>
      <c r="C222" s="7" t="str">
        <f>"贾梦柯"</f>
        <v>贾梦柯</v>
      </c>
      <c r="D222" s="7">
        <v>9</v>
      </c>
      <c r="E222" s="7">
        <v>11</v>
      </c>
      <c r="F222" s="7" t="s">
        <v>10</v>
      </c>
      <c r="G222" s="8">
        <v>83.62</v>
      </c>
      <c r="H222" s="7"/>
      <c r="I222" s="8">
        <v>83.62</v>
      </c>
    </row>
    <row r="223" s="1" customFormat="1" ht="23" customHeight="1" spans="1:9">
      <c r="A223" s="7" t="str">
        <f>"60030934411"</f>
        <v>60030934411</v>
      </c>
      <c r="B223" s="7" t="str">
        <f>"6003"</f>
        <v>6003</v>
      </c>
      <c r="C223" s="7" t="str">
        <f>"刘杰"</f>
        <v>刘杰</v>
      </c>
      <c r="D223" s="7">
        <v>9</v>
      </c>
      <c r="E223" s="7">
        <v>12</v>
      </c>
      <c r="F223" s="7" t="s">
        <v>10</v>
      </c>
      <c r="G223" s="8">
        <v>81.18</v>
      </c>
      <c r="H223" s="7"/>
      <c r="I223" s="8">
        <v>81.18</v>
      </c>
    </row>
    <row r="224" s="1" customFormat="1" ht="23" customHeight="1" spans="1:9">
      <c r="A224" s="7" t="str">
        <f>"50030932119"</f>
        <v>50030932119</v>
      </c>
      <c r="B224" s="7" t="str">
        <f>"5003"</f>
        <v>5003</v>
      </c>
      <c r="C224" s="7" t="str">
        <f>"王雅楠"</f>
        <v>王雅楠</v>
      </c>
      <c r="D224" s="7">
        <v>9</v>
      </c>
      <c r="E224" s="7">
        <v>13</v>
      </c>
      <c r="F224" s="7" t="s">
        <v>10</v>
      </c>
      <c r="G224" s="8">
        <v>81.68</v>
      </c>
      <c r="H224" s="7"/>
      <c r="I224" s="8">
        <v>81.68</v>
      </c>
    </row>
    <row r="225" s="1" customFormat="1" ht="23" customHeight="1" spans="1:9">
      <c r="A225" s="7" t="str">
        <f>"50030932001"</f>
        <v>50030932001</v>
      </c>
      <c r="B225" s="7" t="str">
        <f>"5003"</f>
        <v>5003</v>
      </c>
      <c r="C225" s="7" t="str">
        <f>"李妍玥"</f>
        <v>李妍玥</v>
      </c>
      <c r="D225" s="7">
        <v>9</v>
      </c>
      <c r="E225" s="7">
        <v>14</v>
      </c>
      <c r="F225" s="7" t="s">
        <v>10</v>
      </c>
      <c r="G225" s="8">
        <v>84.18</v>
      </c>
      <c r="H225" s="7"/>
      <c r="I225" s="8">
        <v>84.18</v>
      </c>
    </row>
    <row r="226" s="1" customFormat="1" ht="23" customHeight="1" spans="1:9">
      <c r="A226" s="7" t="str">
        <f>"50030831413"</f>
        <v>50030831413</v>
      </c>
      <c r="B226" s="7" t="str">
        <f>"5003"</f>
        <v>5003</v>
      </c>
      <c r="C226" s="7" t="str">
        <f>"王瑶"</f>
        <v>王瑶</v>
      </c>
      <c r="D226" s="7">
        <v>9</v>
      </c>
      <c r="E226" s="7">
        <v>15</v>
      </c>
      <c r="F226" s="7" t="s">
        <v>10</v>
      </c>
      <c r="G226" s="8">
        <v>83.66</v>
      </c>
      <c r="H226" s="7"/>
      <c r="I226" s="8">
        <v>83.66</v>
      </c>
    </row>
    <row r="227" s="1" customFormat="1" ht="23" customHeight="1" spans="1:9">
      <c r="A227" s="7" t="str">
        <f>"60030934424"</f>
        <v>60030934424</v>
      </c>
      <c r="B227" s="7" t="str">
        <f>"6003"</f>
        <v>6003</v>
      </c>
      <c r="C227" s="7" t="str">
        <f>"王双"</f>
        <v>王双</v>
      </c>
      <c r="D227" s="7">
        <v>9</v>
      </c>
      <c r="E227" s="7">
        <v>16</v>
      </c>
      <c r="F227" s="7" t="s">
        <v>10</v>
      </c>
      <c r="G227" s="8">
        <v>83.58</v>
      </c>
      <c r="H227" s="7"/>
      <c r="I227" s="8">
        <v>83.58</v>
      </c>
    </row>
    <row r="228" s="1" customFormat="1" ht="23" customHeight="1" spans="1:9">
      <c r="A228" s="7" t="str">
        <f>"50030831528"</f>
        <v>50030831528</v>
      </c>
      <c r="B228" s="7" t="str">
        <f>"5003"</f>
        <v>5003</v>
      </c>
      <c r="C228" s="7" t="str">
        <f>"翟彦伟"</f>
        <v>翟彦伟</v>
      </c>
      <c r="D228" s="7">
        <v>9</v>
      </c>
      <c r="E228" s="7">
        <v>17</v>
      </c>
      <c r="F228" s="7" t="s">
        <v>10</v>
      </c>
      <c r="G228" s="8">
        <v>82.4</v>
      </c>
      <c r="H228" s="7"/>
      <c r="I228" s="8">
        <v>82.4</v>
      </c>
    </row>
    <row r="229" s="1" customFormat="1" ht="23" customHeight="1" spans="1:9">
      <c r="A229" s="7" t="str">
        <f>"50030931920"</f>
        <v>50030931920</v>
      </c>
      <c r="B229" s="7" t="str">
        <f>"5003"</f>
        <v>5003</v>
      </c>
      <c r="C229" s="7" t="str">
        <f>"卢杰"</f>
        <v>卢杰</v>
      </c>
      <c r="D229" s="7">
        <v>9</v>
      </c>
      <c r="E229" s="7">
        <v>18</v>
      </c>
      <c r="F229" s="7" t="s">
        <v>10</v>
      </c>
      <c r="G229" s="8">
        <v>84.58</v>
      </c>
      <c r="H229" s="7"/>
      <c r="I229" s="8">
        <v>84.58</v>
      </c>
    </row>
    <row r="230" s="1" customFormat="1" ht="23" customHeight="1" spans="1:9">
      <c r="A230" s="7" t="str">
        <f>"60030934318"</f>
        <v>60030934318</v>
      </c>
      <c r="B230" s="7" t="str">
        <f>"6003"</f>
        <v>6003</v>
      </c>
      <c r="C230" s="7" t="str">
        <f>"邢盼盼"</f>
        <v>邢盼盼</v>
      </c>
      <c r="D230" s="7">
        <v>9</v>
      </c>
      <c r="E230" s="7">
        <v>19</v>
      </c>
      <c r="F230" s="7" t="s">
        <v>10</v>
      </c>
      <c r="G230" s="8">
        <v>84.46</v>
      </c>
      <c r="H230" s="7"/>
      <c r="I230" s="8">
        <v>84.46</v>
      </c>
    </row>
    <row r="231" s="1" customFormat="1" ht="23" customHeight="1" spans="1:9">
      <c r="A231" s="7" t="str">
        <f>"50030831501"</f>
        <v>50030831501</v>
      </c>
      <c r="B231" s="7" t="str">
        <f>"5003"</f>
        <v>5003</v>
      </c>
      <c r="C231" s="7" t="str">
        <f>"李聪"</f>
        <v>李聪</v>
      </c>
      <c r="D231" s="7">
        <v>9</v>
      </c>
      <c r="E231" s="7">
        <v>20</v>
      </c>
      <c r="F231" s="7" t="s">
        <v>10</v>
      </c>
      <c r="G231" s="8">
        <v>80.94</v>
      </c>
      <c r="H231" s="7"/>
      <c r="I231" s="8">
        <v>80.94</v>
      </c>
    </row>
    <row r="232" s="1" customFormat="1" ht="23" customHeight="1" spans="1:9">
      <c r="A232" s="7" t="str">
        <f>"50030931609"</f>
        <v>50030931609</v>
      </c>
      <c r="B232" s="7" t="str">
        <f>"5003"</f>
        <v>5003</v>
      </c>
      <c r="C232" s="7" t="str">
        <f>"梁方"</f>
        <v>梁方</v>
      </c>
      <c r="D232" s="7">
        <v>9</v>
      </c>
      <c r="E232" s="7">
        <v>21</v>
      </c>
      <c r="F232" s="7" t="s">
        <v>10</v>
      </c>
      <c r="G232" s="8">
        <v>84.9</v>
      </c>
      <c r="H232" s="7"/>
      <c r="I232" s="8">
        <v>84.9</v>
      </c>
    </row>
    <row r="233" s="1" customFormat="1" ht="23" customHeight="1" spans="1:9">
      <c r="A233" s="7" t="str">
        <f>"30040620706"</f>
        <v>30040620706</v>
      </c>
      <c r="B233" s="7" t="str">
        <f>"3004"</f>
        <v>3004</v>
      </c>
      <c r="C233" s="7" t="str">
        <f>"赵一婷"</f>
        <v>赵一婷</v>
      </c>
      <c r="D233" s="7">
        <v>10</v>
      </c>
      <c r="E233" s="7">
        <v>1</v>
      </c>
      <c r="F233" s="7" t="s">
        <v>10</v>
      </c>
      <c r="G233" s="8">
        <v>80.43</v>
      </c>
      <c r="H233" s="7"/>
      <c r="I233" s="8">
        <v>80.43</v>
      </c>
    </row>
    <row r="234" s="1" customFormat="1" ht="23" customHeight="1" spans="1:9">
      <c r="A234" s="7" t="str">
        <f>"30040620616"</f>
        <v>30040620616</v>
      </c>
      <c r="B234" s="7" t="str">
        <f>"3004"</f>
        <v>3004</v>
      </c>
      <c r="C234" s="7" t="str">
        <f>"胡梦影"</f>
        <v>胡梦影</v>
      </c>
      <c r="D234" s="7">
        <v>10</v>
      </c>
      <c r="E234" s="7">
        <v>2</v>
      </c>
      <c r="F234" s="7" t="s">
        <v>10</v>
      </c>
      <c r="G234" s="8">
        <v>83.36</v>
      </c>
      <c r="H234" s="7"/>
      <c r="I234" s="8">
        <v>83.36</v>
      </c>
    </row>
    <row r="235" s="1" customFormat="1" ht="23" customHeight="1" spans="1:9">
      <c r="A235" s="7" t="str">
        <f>"20040414413"</f>
        <v>20040414413</v>
      </c>
      <c r="B235" s="7" t="str">
        <f>"2004"</f>
        <v>2004</v>
      </c>
      <c r="C235" s="7" t="str">
        <f>"赵智勇"</f>
        <v>赵智勇</v>
      </c>
      <c r="D235" s="7">
        <v>10</v>
      </c>
      <c r="E235" s="7">
        <v>3</v>
      </c>
      <c r="F235" s="7" t="s">
        <v>10</v>
      </c>
      <c r="G235" s="8">
        <v>82.71</v>
      </c>
      <c r="H235" s="7"/>
      <c r="I235" s="8">
        <v>82.71</v>
      </c>
    </row>
    <row r="236" s="1" customFormat="1" ht="23" customHeight="1" spans="1:9">
      <c r="A236" s="7" t="str">
        <f>"20040414423"</f>
        <v>20040414423</v>
      </c>
      <c r="B236" s="7" t="str">
        <f>"2004"</f>
        <v>2004</v>
      </c>
      <c r="C236" s="7" t="str">
        <f>"王梦雨"</f>
        <v>王梦雨</v>
      </c>
      <c r="D236" s="7">
        <v>10</v>
      </c>
      <c r="E236" s="7">
        <v>4</v>
      </c>
      <c r="F236" s="7" t="s">
        <v>10</v>
      </c>
      <c r="G236" s="8">
        <v>81.34</v>
      </c>
      <c r="H236" s="7"/>
      <c r="I236" s="8">
        <v>81.34</v>
      </c>
    </row>
    <row r="237" s="1" customFormat="1" ht="23" customHeight="1" spans="1:9">
      <c r="A237" s="7" t="str">
        <f>"20040414408"</f>
        <v>20040414408</v>
      </c>
      <c r="B237" s="7" t="str">
        <f>"2004"</f>
        <v>2004</v>
      </c>
      <c r="C237" s="7" t="str">
        <f>"孙若楠"</f>
        <v>孙若楠</v>
      </c>
      <c r="D237" s="7">
        <v>10</v>
      </c>
      <c r="E237" s="7">
        <v>5</v>
      </c>
      <c r="F237" s="7" t="s">
        <v>10</v>
      </c>
      <c r="G237" s="8">
        <v>83.26</v>
      </c>
      <c r="H237" s="7"/>
      <c r="I237" s="8">
        <v>83.26</v>
      </c>
    </row>
    <row r="238" s="1" customFormat="1" ht="23" customHeight="1" spans="1:9">
      <c r="A238" s="7" t="str">
        <f>"30040620704"</f>
        <v>30040620704</v>
      </c>
      <c r="B238" s="7" t="str">
        <f>"3004"</f>
        <v>3004</v>
      </c>
      <c r="C238" s="7" t="str">
        <f>"郭小慢"</f>
        <v>郭小慢</v>
      </c>
      <c r="D238" s="7">
        <v>10</v>
      </c>
      <c r="E238" s="7">
        <v>6</v>
      </c>
      <c r="F238" s="7" t="s">
        <v>10</v>
      </c>
      <c r="G238" s="8">
        <v>83.32</v>
      </c>
      <c r="H238" s="7"/>
      <c r="I238" s="8">
        <v>83.32</v>
      </c>
    </row>
    <row r="239" s="1" customFormat="1" ht="23" customHeight="1" spans="1:9">
      <c r="A239" s="7" t="str">
        <f>"30040620703"</f>
        <v>30040620703</v>
      </c>
      <c r="B239" s="7" t="str">
        <f>"3004"</f>
        <v>3004</v>
      </c>
      <c r="C239" s="7" t="str">
        <f>"杨雪"</f>
        <v>杨雪</v>
      </c>
      <c r="D239" s="7">
        <v>10</v>
      </c>
      <c r="E239" s="7">
        <v>7</v>
      </c>
      <c r="F239" s="7" t="s">
        <v>10</v>
      </c>
      <c r="G239" s="8">
        <v>82.96</v>
      </c>
      <c r="H239" s="7"/>
      <c r="I239" s="8">
        <v>82.96</v>
      </c>
    </row>
    <row r="240" s="1" customFormat="1" ht="23" customHeight="1" spans="1:9">
      <c r="A240" s="7" t="str">
        <f>"30040620707"</f>
        <v>30040620707</v>
      </c>
      <c r="B240" s="7" t="str">
        <f>"3004"</f>
        <v>3004</v>
      </c>
      <c r="C240" s="7" t="str">
        <f>"许梦园"</f>
        <v>许梦园</v>
      </c>
      <c r="D240" s="7">
        <v>10</v>
      </c>
      <c r="E240" s="7">
        <v>8</v>
      </c>
      <c r="F240" s="7" t="s">
        <v>10</v>
      </c>
      <c r="G240" s="8">
        <v>82.36</v>
      </c>
      <c r="H240" s="7"/>
      <c r="I240" s="8">
        <v>82.36</v>
      </c>
    </row>
    <row r="241" s="1" customFormat="1" ht="23" customHeight="1" spans="1:9">
      <c r="A241" s="7" t="str">
        <f>"30040620705"</f>
        <v>30040620705</v>
      </c>
      <c r="B241" s="7" t="str">
        <f>"3004"</f>
        <v>3004</v>
      </c>
      <c r="C241" s="7" t="str">
        <f>"霍同桐"</f>
        <v>霍同桐</v>
      </c>
      <c r="D241" s="7">
        <v>10</v>
      </c>
      <c r="E241" s="7">
        <v>9</v>
      </c>
      <c r="F241" s="7" t="s">
        <v>10</v>
      </c>
      <c r="G241" s="8">
        <v>83.86</v>
      </c>
      <c r="H241" s="7"/>
      <c r="I241" s="8">
        <v>83.86</v>
      </c>
    </row>
    <row r="242" s="1" customFormat="1" ht="23" customHeight="1" spans="1:9">
      <c r="A242" s="7" t="str">
        <f>"30040620629"</f>
        <v>30040620629</v>
      </c>
      <c r="B242" s="7" t="str">
        <f>"3004"</f>
        <v>3004</v>
      </c>
      <c r="C242" s="7" t="str">
        <f>"李欢"</f>
        <v>李欢</v>
      </c>
      <c r="D242" s="7">
        <v>10</v>
      </c>
      <c r="E242" s="7">
        <v>10</v>
      </c>
      <c r="F242" s="7" t="s">
        <v>10</v>
      </c>
      <c r="G242" s="8">
        <v>83.34</v>
      </c>
      <c r="H242" s="7"/>
      <c r="I242" s="8">
        <v>83.34</v>
      </c>
    </row>
    <row r="243" s="1" customFormat="1" ht="23" customHeight="1" spans="1:9">
      <c r="A243" s="7" t="str">
        <f>"20040414312"</f>
        <v>20040414312</v>
      </c>
      <c r="B243" s="7" t="str">
        <f>"2004"</f>
        <v>2004</v>
      </c>
      <c r="C243" s="7" t="str">
        <f>"王寅"</f>
        <v>王寅</v>
      </c>
      <c r="D243" s="7">
        <v>10</v>
      </c>
      <c r="E243" s="7">
        <v>11</v>
      </c>
      <c r="F243" s="7" t="s">
        <v>10</v>
      </c>
      <c r="G243" s="8">
        <v>84.28</v>
      </c>
      <c r="H243" s="7"/>
      <c r="I243" s="8">
        <v>84.28</v>
      </c>
    </row>
    <row r="244" s="1" customFormat="1" ht="23" customHeight="1" spans="1:9">
      <c r="A244" s="7" t="str">
        <f>"30040620612"</f>
        <v>30040620612</v>
      </c>
      <c r="B244" s="7" t="str">
        <f>"3004"</f>
        <v>3004</v>
      </c>
      <c r="C244" s="7" t="str">
        <f>"段华娟"</f>
        <v>段华娟</v>
      </c>
      <c r="D244" s="7">
        <v>10</v>
      </c>
      <c r="E244" s="7">
        <v>12</v>
      </c>
      <c r="F244" s="7" t="s">
        <v>10</v>
      </c>
      <c r="G244" s="8">
        <v>82.62</v>
      </c>
      <c r="H244" s="7"/>
      <c r="I244" s="8">
        <v>82.62</v>
      </c>
    </row>
    <row r="245" s="1" customFormat="1" ht="23" customHeight="1" spans="1:9">
      <c r="A245" s="7" t="str">
        <f>"30040620627"</f>
        <v>30040620627</v>
      </c>
      <c r="B245" s="7" t="str">
        <f>"3004"</f>
        <v>3004</v>
      </c>
      <c r="C245" s="7" t="str">
        <f>"林浩楠"</f>
        <v>林浩楠</v>
      </c>
      <c r="D245" s="7">
        <v>10</v>
      </c>
      <c r="E245" s="7">
        <v>13</v>
      </c>
      <c r="F245" s="7" t="s">
        <v>10</v>
      </c>
      <c r="G245" s="8">
        <v>81.92</v>
      </c>
      <c r="H245" s="7"/>
      <c r="I245" s="8">
        <v>81.92</v>
      </c>
    </row>
    <row r="246" s="1" customFormat="1" ht="23" customHeight="1" spans="1:9">
      <c r="A246" s="7" t="str">
        <f>"30040620611"</f>
        <v>30040620611</v>
      </c>
      <c r="B246" s="7" t="str">
        <f>"3004"</f>
        <v>3004</v>
      </c>
      <c r="C246" s="7" t="str">
        <f>"赵雪航"</f>
        <v>赵雪航</v>
      </c>
      <c r="D246" s="7">
        <v>10</v>
      </c>
      <c r="E246" s="7">
        <v>14</v>
      </c>
      <c r="F246" s="7" t="s">
        <v>10</v>
      </c>
      <c r="G246" s="8">
        <v>82.72</v>
      </c>
      <c r="H246" s="7"/>
      <c r="I246" s="8">
        <v>82.72</v>
      </c>
    </row>
    <row r="247" s="1" customFormat="1" ht="23" customHeight="1" spans="1:9">
      <c r="A247" s="7" t="str">
        <f>"30040620628"</f>
        <v>30040620628</v>
      </c>
      <c r="B247" s="7" t="str">
        <f>"3004"</f>
        <v>3004</v>
      </c>
      <c r="C247" s="7" t="str">
        <f>"张薇"</f>
        <v>张薇</v>
      </c>
      <c r="D247" s="7">
        <v>10</v>
      </c>
      <c r="E247" s="7">
        <v>15</v>
      </c>
      <c r="F247" s="7" t="s">
        <v>10</v>
      </c>
      <c r="G247" s="8">
        <v>83.34</v>
      </c>
      <c r="H247" s="7"/>
      <c r="I247" s="8">
        <v>83.34</v>
      </c>
    </row>
    <row r="248" s="1" customFormat="1" ht="23" customHeight="1" spans="1:9">
      <c r="A248" s="7" t="str">
        <f>"30040620608"</f>
        <v>30040620608</v>
      </c>
      <c r="B248" s="7" t="str">
        <f>"3004"</f>
        <v>3004</v>
      </c>
      <c r="C248" s="7" t="str">
        <f>"库满"</f>
        <v>库满</v>
      </c>
      <c r="D248" s="7">
        <v>10</v>
      </c>
      <c r="E248" s="7">
        <v>16</v>
      </c>
      <c r="F248" s="7" t="s">
        <v>10</v>
      </c>
      <c r="G248" s="8">
        <v>83.24</v>
      </c>
      <c r="H248" s="7"/>
      <c r="I248" s="8">
        <v>83.24</v>
      </c>
    </row>
    <row r="249" s="1" customFormat="1" ht="23" customHeight="1" spans="1:9">
      <c r="A249" s="7" t="str">
        <f>"20040414406"</f>
        <v>20040414406</v>
      </c>
      <c r="B249" s="7" t="str">
        <f>"2004"</f>
        <v>2004</v>
      </c>
      <c r="C249" s="7" t="str">
        <f>"彭俊铭"</f>
        <v>彭俊铭</v>
      </c>
      <c r="D249" s="7">
        <v>10</v>
      </c>
      <c r="E249" s="7">
        <v>17</v>
      </c>
      <c r="F249" s="7" t="s">
        <v>10</v>
      </c>
      <c r="G249" s="8">
        <v>82.42</v>
      </c>
      <c r="H249" s="7"/>
      <c r="I249" s="8">
        <v>82.42</v>
      </c>
    </row>
    <row r="250" s="1" customFormat="1" ht="23" customHeight="1" spans="1:9">
      <c r="A250" s="7" t="str">
        <f>"20040414412"</f>
        <v>20040414412</v>
      </c>
      <c r="B250" s="7" t="str">
        <f>"2004"</f>
        <v>2004</v>
      </c>
      <c r="C250" s="7" t="str">
        <f>"王子晴"</f>
        <v>王子晴</v>
      </c>
      <c r="D250" s="7">
        <v>10</v>
      </c>
      <c r="E250" s="7">
        <v>18</v>
      </c>
      <c r="F250" s="7" t="s">
        <v>10</v>
      </c>
      <c r="G250" s="8">
        <v>83.12</v>
      </c>
      <c r="H250" s="7"/>
      <c r="I250" s="8">
        <v>83.12</v>
      </c>
    </row>
    <row r="251" s="1" customFormat="1" ht="23" customHeight="1" spans="1:9">
      <c r="A251" s="7" t="str">
        <f>"30040620615"</f>
        <v>30040620615</v>
      </c>
      <c r="B251" s="7" t="str">
        <f>"3004"</f>
        <v>3004</v>
      </c>
      <c r="C251" s="7" t="str">
        <f>"李珂"</f>
        <v>李珂</v>
      </c>
      <c r="D251" s="7">
        <v>10</v>
      </c>
      <c r="E251" s="7">
        <v>19</v>
      </c>
      <c r="F251" s="7" t="s">
        <v>10</v>
      </c>
      <c r="G251" s="8">
        <v>81.7</v>
      </c>
      <c r="H251" s="7"/>
      <c r="I251" s="8">
        <v>81.7</v>
      </c>
    </row>
    <row r="252" s="1" customFormat="1" ht="23" customHeight="1" spans="1:9">
      <c r="A252" s="7" t="str">
        <f>"30040620604"</f>
        <v>30040620604</v>
      </c>
      <c r="B252" s="7" t="str">
        <f>"3004"</f>
        <v>3004</v>
      </c>
      <c r="C252" s="7" t="str">
        <f>"胡玉璞"</f>
        <v>胡玉璞</v>
      </c>
      <c r="D252" s="7">
        <v>10</v>
      </c>
      <c r="E252" s="7">
        <v>20</v>
      </c>
      <c r="F252" s="7" t="s">
        <v>10</v>
      </c>
      <c r="G252" s="8">
        <v>82.96</v>
      </c>
      <c r="H252" s="7"/>
      <c r="I252" s="8">
        <v>82.96</v>
      </c>
    </row>
    <row r="253" s="1" customFormat="1" ht="23" customHeight="1" spans="1:9">
      <c r="A253" s="7" t="str">
        <f>"20040414405"</f>
        <v>20040414405</v>
      </c>
      <c r="B253" s="7" t="str">
        <f>"2004"</f>
        <v>2004</v>
      </c>
      <c r="C253" s="7" t="str">
        <f>"蒋帅宇"</f>
        <v>蒋帅宇</v>
      </c>
      <c r="D253" s="7">
        <v>10</v>
      </c>
      <c r="E253" s="7">
        <v>21</v>
      </c>
      <c r="F253" s="7" t="s">
        <v>10</v>
      </c>
      <c r="G253" s="8">
        <v>81.38</v>
      </c>
      <c r="H253" s="7"/>
      <c r="I253" s="8">
        <v>81.38</v>
      </c>
    </row>
    <row r="254" s="1" customFormat="1" ht="23" customHeight="1" spans="1:9">
      <c r="A254" s="7" t="str">
        <f>"20040414410"</f>
        <v>20040414410</v>
      </c>
      <c r="B254" s="7" t="str">
        <f>"2004"</f>
        <v>2004</v>
      </c>
      <c r="C254" s="7" t="str">
        <f>"杨亭"</f>
        <v>杨亭</v>
      </c>
      <c r="D254" s="7">
        <v>10</v>
      </c>
      <c r="E254" s="7">
        <v>22</v>
      </c>
      <c r="F254" s="7" t="s">
        <v>10</v>
      </c>
      <c r="G254" s="8">
        <v>83.1</v>
      </c>
      <c r="H254" s="7"/>
      <c r="I254" s="8">
        <v>83.1</v>
      </c>
    </row>
    <row r="255" s="1" customFormat="1" ht="23" customHeight="1" spans="1:9">
      <c r="A255" s="7" t="str">
        <f>"20040414310"</f>
        <v>20040414310</v>
      </c>
      <c r="B255" s="7" t="str">
        <f>"2004"</f>
        <v>2004</v>
      </c>
      <c r="C255" s="7" t="str">
        <f>"李佳轩"</f>
        <v>李佳轩</v>
      </c>
      <c r="D255" s="7">
        <v>10</v>
      </c>
      <c r="E255" s="7" t="s">
        <v>11</v>
      </c>
      <c r="F255" s="7" t="s">
        <v>10</v>
      </c>
      <c r="G255" s="8" t="s">
        <v>11</v>
      </c>
      <c r="H255" s="7"/>
      <c r="I255" s="8" t="s">
        <v>11</v>
      </c>
    </row>
    <row r="256" s="1" customFormat="1" ht="23" customHeight="1" spans="1:9">
      <c r="A256" s="7" t="str">
        <f>"20040414324"</f>
        <v>20040414324</v>
      </c>
      <c r="B256" s="7" t="str">
        <f>"2004"</f>
        <v>2004</v>
      </c>
      <c r="C256" s="7" t="str">
        <f>"沈家冰"</f>
        <v>沈家冰</v>
      </c>
      <c r="D256" s="7">
        <v>10</v>
      </c>
      <c r="E256" s="7" t="s">
        <v>11</v>
      </c>
      <c r="F256" s="7" t="s">
        <v>10</v>
      </c>
      <c r="G256" s="8" t="s">
        <v>11</v>
      </c>
      <c r="H256" s="7"/>
      <c r="I256" s="8" t="s">
        <v>11</v>
      </c>
    </row>
    <row r="257" s="1" customFormat="1" ht="23" customHeight="1" spans="1:9">
      <c r="A257" s="7" t="str">
        <f>"20040414407"</f>
        <v>20040414407</v>
      </c>
      <c r="B257" s="7" t="str">
        <f>"2004"</f>
        <v>2004</v>
      </c>
      <c r="C257" s="7" t="str">
        <f>"田展"</f>
        <v>田展</v>
      </c>
      <c r="D257" s="7">
        <v>10</v>
      </c>
      <c r="E257" s="7" t="s">
        <v>11</v>
      </c>
      <c r="F257" s="7" t="s">
        <v>10</v>
      </c>
      <c r="G257" s="8" t="s">
        <v>11</v>
      </c>
      <c r="H257" s="7"/>
      <c r="I257" s="8" t="s">
        <v>11</v>
      </c>
    </row>
    <row r="258" s="1" customFormat="1" ht="23" customHeight="1" spans="1:9">
      <c r="A258" s="7" t="str">
        <f>"30040620621"</f>
        <v>30040620621</v>
      </c>
      <c r="B258" s="7" t="str">
        <f>"3004"</f>
        <v>3004</v>
      </c>
      <c r="C258" s="7" t="str">
        <f>"翟鹏辉"</f>
        <v>翟鹏辉</v>
      </c>
      <c r="D258" s="7">
        <v>10</v>
      </c>
      <c r="E258" s="7" t="s">
        <v>11</v>
      </c>
      <c r="F258" s="7" t="s">
        <v>10</v>
      </c>
      <c r="G258" s="8" t="s">
        <v>11</v>
      </c>
      <c r="H258" s="7"/>
      <c r="I258" s="8" t="s">
        <v>11</v>
      </c>
    </row>
    <row r="259" s="1" customFormat="1" ht="23" customHeight="1" spans="1:9">
      <c r="A259" s="7" t="str">
        <f>"30050620727"</f>
        <v>30050620727</v>
      </c>
      <c r="B259" s="7" t="str">
        <f>"3005"</f>
        <v>3005</v>
      </c>
      <c r="C259" s="7" t="str">
        <f>"彭飞立"</f>
        <v>彭飞立</v>
      </c>
      <c r="D259" s="9">
        <v>11</v>
      </c>
      <c r="E259" s="9">
        <v>1</v>
      </c>
      <c r="F259" s="10" t="s">
        <v>10</v>
      </c>
      <c r="G259" s="11">
        <v>83.76</v>
      </c>
      <c r="H259" s="7"/>
      <c r="I259" s="11">
        <v>83.76</v>
      </c>
    </row>
    <row r="260" s="1" customFormat="1" ht="23" customHeight="1" spans="1:9">
      <c r="A260" s="7" t="str">
        <f>"20050414522"</f>
        <v>20050414522</v>
      </c>
      <c r="B260" s="7" t="str">
        <f>"2005"</f>
        <v>2005</v>
      </c>
      <c r="C260" s="7" t="str">
        <f>"李飒"</f>
        <v>李飒</v>
      </c>
      <c r="D260" s="9">
        <v>11</v>
      </c>
      <c r="E260" s="9">
        <v>2</v>
      </c>
      <c r="F260" s="10" t="s">
        <v>10</v>
      </c>
      <c r="G260" s="11">
        <v>82.08</v>
      </c>
      <c r="H260" s="7"/>
      <c r="I260" s="11">
        <v>82.08</v>
      </c>
    </row>
    <row r="261" s="1" customFormat="1" ht="23" customHeight="1" spans="1:9">
      <c r="A261" s="7" t="str">
        <f>"30050620901"</f>
        <v>30050620901</v>
      </c>
      <c r="B261" s="7" t="str">
        <f>"3005"</f>
        <v>3005</v>
      </c>
      <c r="C261" s="7" t="str">
        <f>"刘珂"</f>
        <v>刘珂</v>
      </c>
      <c r="D261" s="9">
        <v>11</v>
      </c>
      <c r="E261" s="9">
        <v>3</v>
      </c>
      <c r="F261" s="10" t="s">
        <v>10</v>
      </c>
      <c r="G261" s="11">
        <v>82.78</v>
      </c>
      <c r="H261" s="7"/>
      <c r="I261" s="11">
        <v>82.78</v>
      </c>
    </row>
    <row r="262" s="1" customFormat="1" ht="23" customHeight="1" spans="1:9">
      <c r="A262" s="7" t="str">
        <f>"20050414704"</f>
        <v>20050414704</v>
      </c>
      <c r="B262" s="7" t="str">
        <f>"2005"</f>
        <v>2005</v>
      </c>
      <c r="C262" s="7" t="str">
        <f>"王林娴"</f>
        <v>王林娴</v>
      </c>
      <c r="D262" s="9">
        <v>11</v>
      </c>
      <c r="E262" s="9">
        <v>4</v>
      </c>
      <c r="F262" s="10" t="s">
        <v>10</v>
      </c>
      <c r="G262" s="11">
        <v>83.68</v>
      </c>
      <c r="H262" s="7"/>
      <c r="I262" s="11">
        <v>83.68</v>
      </c>
    </row>
    <row r="263" s="1" customFormat="1" ht="23" customHeight="1" spans="1:9">
      <c r="A263" s="7" t="str">
        <f>"20050414604"</f>
        <v>20050414604</v>
      </c>
      <c r="B263" s="7" t="str">
        <f>"2005"</f>
        <v>2005</v>
      </c>
      <c r="C263" s="7" t="str">
        <f>"陈亚娜"</f>
        <v>陈亚娜</v>
      </c>
      <c r="D263" s="9">
        <v>11</v>
      </c>
      <c r="E263" s="9">
        <v>5</v>
      </c>
      <c r="F263" s="10" t="s">
        <v>10</v>
      </c>
      <c r="G263" s="11">
        <v>83.6</v>
      </c>
      <c r="H263" s="7"/>
      <c r="I263" s="11">
        <v>83.6</v>
      </c>
    </row>
    <row r="264" s="1" customFormat="1" ht="23" customHeight="1" spans="1:9">
      <c r="A264" s="7" t="str">
        <f>"30050620920"</f>
        <v>30050620920</v>
      </c>
      <c r="B264" s="7" t="str">
        <f>"3005"</f>
        <v>3005</v>
      </c>
      <c r="C264" s="7" t="str">
        <f>"姚伟丽"</f>
        <v>姚伟丽</v>
      </c>
      <c r="D264" s="9">
        <v>11</v>
      </c>
      <c r="E264" s="9">
        <v>6</v>
      </c>
      <c r="F264" s="10" t="s">
        <v>10</v>
      </c>
      <c r="G264" s="11">
        <v>83.12</v>
      </c>
      <c r="H264" s="7"/>
      <c r="I264" s="11">
        <v>83.12</v>
      </c>
    </row>
    <row r="265" s="1" customFormat="1" ht="23" customHeight="1" spans="1:9">
      <c r="A265" s="7" t="str">
        <f>"30050620914"</f>
        <v>30050620914</v>
      </c>
      <c r="B265" s="7" t="str">
        <f>"3005"</f>
        <v>3005</v>
      </c>
      <c r="C265" s="7" t="str">
        <f>"冯一鸣"</f>
        <v>冯一鸣</v>
      </c>
      <c r="D265" s="9">
        <v>11</v>
      </c>
      <c r="E265" s="9">
        <v>7</v>
      </c>
      <c r="F265" s="10" t="s">
        <v>10</v>
      </c>
      <c r="G265" s="11">
        <v>83.78</v>
      </c>
      <c r="H265" s="7"/>
      <c r="I265" s="11">
        <v>83.78</v>
      </c>
    </row>
    <row r="266" s="1" customFormat="1" ht="23" customHeight="1" spans="1:9">
      <c r="A266" s="7" t="str">
        <f>"20050414527"</f>
        <v>20050414527</v>
      </c>
      <c r="B266" s="7" t="str">
        <f>"2005"</f>
        <v>2005</v>
      </c>
      <c r="C266" s="7" t="str">
        <f>"郑昊雯"</f>
        <v>郑昊雯</v>
      </c>
      <c r="D266" s="9">
        <v>11</v>
      </c>
      <c r="E266" s="9">
        <v>8</v>
      </c>
      <c r="F266" s="10" t="s">
        <v>10</v>
      </c>
      <c r="G266" s="11">
        <v>83.32</v>
      </c>
      <c r="H266" s="7"/>
      <c r="I266" s="11">
        <v>83.32</v>
      </c>
    </row>
    <row r="267" s="1" customFormat="1" ht="23" customHeight="1" spans="1:9">
      <c r="A267" s="7" t="str">
        <f>"20050414425"</f>
        <v>20050414425</v>
      </c>
      <c r="B267" s="7" t="str">
        <f>"2005"</f>
        <v>2005</v>
      </c>
      <c r="C267" s="7" t="str">
        <f>"张宛霞"</f>
        <v>张宛霞</v>
      </c>
      <c r="D267" s="9">
        <v>11</v>
      </c>
      <c r="E267" s="9">
        <v>9</v>
      </c>
      <c r="F267" s="10" t="s">
        <v>10</v>
      </c>
      <c r="G267" s="11">
        <v>82.56</v>
      </c>
      <c r="H267" s="7"/>
      <c r="I267" s="11">
        <v>82.56</v>
      </c>
    </row>
    <row r="268" s="1" customFormat="1" ht="23" customHeight="1" spans="1:9">
      <c r="A268" s="7" t="str">
        <f>"30050620809"</f>
        <v>30050620809</v>
      </c>
      <c r="B268" s="7" t="str">
        <f>"3005"</f>
        <v>3005</v>
      </c>
      <c r="C268" s="7" t="str">
        <f>"刘灿"</f>
        <v>刘灿</v>
      </c>
      <c r="D268" s="9">
        <v>11</v>
      </c>
      <c r="E268" s="9">
        <v>10</v>
      </c>
      <c r="F268" s="10" t="s">
        <v>10</v>
      </c>
      <c r="G268" s="11">
        <v>82.24</v>
      </c>
      <c r="H268" s="7"/>
      <c r="I268" s="11">
        <v>82.24</v>
      </c>
    </row>
    <row r="269" s="1" customFormat="1" ht="23" customHeight="1" spans="1:9">
      <c r="A269" s="7" t="str">
        <f>"20050414519"</f>
        <v>20050414519</v>
      </c>
      <c r="B269" s="7" t="str">
        <f>"2005"</f>
        <v>2005</v>
      </c>
      <c r="C269" s="7" t="str">
        <f>"卢靖仁"</f>
        <v>卢靖仁</v>
      </c>
      <c r="D269" s="9">
        <v>11</v>
      </c>
      <c r="E269" s="9">
        <v>11</v>
      </c>
      <c r="F269" s="10" t="s">
        <v>10</v>
      </c>
      <c r="G269" s="11">
        <v>82.84</v>
      </c>
      <c r="H269" s="7"/>
      <c r="I269" s="11">
        <v>82.84</v>
      </c>
    </row>
    <row r="270" s="1" customFormat="1" ht="23" customHeight="1" spans="1:9">
      <c r="A270" s="7" t="str">
        <f>"30050620804"</f>
        <v>30050620804</v>
      </c>
      <c r="B270" s="7" t="str">
        <f>"3005"</f>
        <v>3005</v>
      </c>
      <c r="C270" s="7" t="str">
        <f>"张晗"</f>
        <v>张晗</v>
      </c>
      <c r="D270" s="9">
        <v>11</v>
      </c>
      <c r="E270" s="9">
        <v>12</v>
      </c>
      <c r="F270" s="10" t="s">
        <v>10</v>
      </c>
      <c r="G270" s="11">
        <v>82.34</v>
      </c>
      <c r="H270" s="7"/>
      <c r="I270" s="11">
        <v>82.34</v>
      </c>
    </row>
    <row r="271" s="1" customFormat="1" ht="23" customHeight="1" spans="1:9">
      <c r="A271" s="7" t="str">
        <f>"20050414503"</f>
        <v>20050414503</v>
      </c>
      <c r="B271" s="7" t="str">
        <f>"2005"</f>
        <v>2005</v>
      </c>
      <c r="C271" s="7" t="str">
        <f>"宋欣"</f>
        <v>宋欣</v>
      </c>
      <c r="D271" s="9">
        <v>11</v>
      </c>
      <c r="E271" s="9">
        <v>13</v>
      </c>
      <c r="F271" s="10" t="s">
        <v>10</v>
      </c>
      <c r="G271" s="11">
        <v>82.28</v>
      </c>
      <c r="H271" s="7"/>
      <c r="I271" s="11">
        <v>82.28</v>
      </c>
    </row>
    <row r="272" s="1" customFormat="1" ht="23" customHeight="1" spans="1:9">
      <c r="A272" s="7" t="str">
        <f>"30050620902"</f>
        <v>30050620902</v>
      </c>
      <c r="B272" s="7" t="str">
        <f>"3005"</f>
        <v>3005</v>
      </c>
      <c r="C272" s="7" t="str">
        <f>"蒋亚鑫"</f>
        <v>蒋亚鑫</v>
      </c>
      <c r="D272" s="9">
        <v>11</v>
      </c>
      <c r="E272" s="9">
        <v>14</v>
      </c>
      <c r="F272" s="10" t="s">
        <v>10</v>
      </c>
      <c r="G272" s="11">
        <v>82.08</v>
      </c>
      <c r="H272" s="7"/>
      <c r="I272" s="11">
        <v>82.08</v>
      </c>
    </row>
    <row r="273" s="1" customFormat="1" ht="23" customHeight="1" spans="1:9">
      <c r="A273" s="7" t="str">
        <f>"20050414713"</f>
        <v>20050414713</v>
      </c>
      <c r="B273" s="7" t="str">
        <f>"2005"</f>
        <v>2005</v>
      </c>
      <c r="C273" s="7" t="str">
        <f>"李冰欣"</f>
        <v>李冰欣</v>
      </c>
      <c r="D273" s="9">
        <v>11</v>
      </c>
      <c r="E273" s="9">
        <v>15</v>
      </c>
      <c r="F273" s="10" t="s">
        <v>10</v>
      </c>
      <c r="G273" s="11">
        <v>83.3</v>
      </c>
      <c r="H273" s="7"/>
      <c r="I273" s="11">
        <v>83.3</v>
      </c>
    </row>
    <row r="274" s="1" customFormat="1" ht="23" customHeight="1" spans="1:9">
      <c r="A274" s="7" t="str">
        <f>"20050414517"</f>
        <v>20050414517</v>
      </c>
      <c r="B274" s="7" t="str">
        <f>"2005"</f>
        <v>2005</v>
      </c>
      <c r="C274" s="7" t="str">
        <f>"马哲"</f>
        <v>马哲</v>
      </c>
      <c r="D274" s="9">
        <v>11</v>
      </c>
      <c r="E274" s="9">
        <v>16</v>
      </c>
      <c r="F274" s="10" t="s">
        <v>10</v>
      </c>
      <c r="G274" s="11">
        <v>84.56</v>
      </c>
      <c r="H274" s="7"/>
      <c r="I274" s="11">
        <v>84.56</v>
      </c>
    </row>
    <row r="275" s="1" customFormat="1" ht="23" customHeight="1" spans="1:9">
      <c r="A275" s="7" t="str">
        <f>"30050620814"</f>
        <v>30050620814</v>
      </c>
      <c r="B275" s="7" t="str">
        <f>"3005"</f>
        <v>3005</v>
      </c>
      <c r="C275" s="7" t="str">
        <f>"翁瑜韩"</f>
        <v>翁瑜韩</v>
      </c>
      <c r="D275" s="9">
        <v>11</v>
      </c>
      <c r="E275" s="9">
        <v>17</v>
      </c>
      <c r="F275" s="10" t="s">
        <v>10</v>
      </c>
      <c r="G275" s="11">
        <v>84.14</v>
      </c>
      <c r="H275" s="7"/>
      <c r="I275" s="11">
        <v>84.14</v>
      </c>
    </row>
    <row r="276" s="1" customFormat="1" ht="23" customHeight="1" spans="1:9">
      <c r="A276" s="7" t="str">
        <f>"20050414710"</f>
        <v>20050414710</v>
      </c>
      <c r="B276" s="7" t="str">
        <f>"2005"</f>
        <v>2005</v>
      </c>
      <c r="C276" s="7" t="str">
        <f>"栗军力"</f>
        <v>栗军力</v>
      </c>
      <c r="D276" s="9">
        <v>11</v>
      </c>
      <c r="E276" s="9">
        <v>18</v>
      </c>
      <c r="F276" s="10" t="s">
        <v>10</v>
      </c>
      <c r="G276" s="11">
        <v>82.22</v>
      </c>
      <c r="H276" s="7"/>
      <c r="I276" s="11">
        <v>82.22</v>
      </c>
    </row>
    <row r="277" s="1" customFormat="1" ht="23" customHeight="1" spans="1:9">
      <c r="A277" s="7" t="str">
        <f>"20050414526"</f>
        <v>20050414526</v>
      </c>
      <c r="B277" s="7" t="str">
        <f>"2005"</f>
        <v>2005</v>
      </c>
      <c r="C277" s="7" t="str">
        <f>"乔鸿"</f>
        <v>乔鸿</v>
      </c>
      <c r="D277" s="9">
        <v>11</v>
      </c>
      <c r="E277" s="9">
        <v>19</v>
      </c>
      <c r="F277" s="10" t="s">
        <v>10</v>
      </c>
      <c r="G277" s="11">
        <v>84</v>
      </c>
      <c r="H277" s="7"/>
      <c r="I277" s="11">
        <v>84</v>
      </c>
    </row>
    <row r="278" s="1" customFormat="1" ht="23" customHeight="1" spans="1:9">
      <c r="A278" s="7" t="str">
        <f>"20050414619"</f>
        <v>20050414619</v>
      </c>
      <c r="B278" s="7" t="str">
        <f>"2005"</f>
        <v>2005</v>
      </c>
      <c r="C278" s="7" t="str">
        <f>"张柯慧"</f>
        <v>张柯慧</v>
      </c>
      <c r="D278" s="9">
        <v>11</v>
      </c>
      <c r="E278" s="9">
        <v>20</v>
      </c>
      <c r="F278" s="10" t="s">
        <v>10</v>
      </c>
      <c r="G278" s="11">
        <v>83.22</v>
      </c>
      <c r="H278" s="7"/>
      <c r="I278" s="11">
        <v>83.22</v>
      </c>
    </row>
    <row r="279" s="1" customFormat="1" ht="23" customHeight="1" spans="1:9">
      <c r="A279" s="7" t="str">
        <f>"20050414529"</f>
        <v>20050414529</v>
      </c>
      <c r="B279" s="7" t="str">
        <f>"2005"</f>
        <v>2005</v>
      </c>
      <c r="C279" s="7" t="str">
        <f>"刘静雅"</f>
        <v>刘静雅</v>
      </c>
      <c r="D279" s="9">
        <v>11</v>
      </c>
      <c r="E279" s="9">
        <v>21</v>
      </c>
      <c r="F279" s="10" t="s">
        <v>10</v>
      </c>
      <c r="G279" s="11">
        <v>81.96</v>
      </c>
      <c r="H279" s="7"/>
      <c r="I279" s="11">
        <v>81.96</v>
      </c>
    </row>
    <row r="280" s="1" customFormat="1" ht="23" customHeight="1" spans="1:9">
      <c r="A280" s="7" t="str">
        <f>"30050620825"</f>
        <v>30050620825</v>
      </c>
      <c r="B280" s="7" t="str">
        <f>"3005"</f>
        <v>3005</v>
      </c>
      <c r="C280" s="7" t="str">
        <f>"赵静"</f>
        <v>赵静</v>
      </c>
      <c r="D280" s="9">
        <v>11</v>
      </c>
      <c r="E280" s="9">
        <v>22</v>
      </c>
      <c r="F280" s="10" t="s">
        <v>10</v>
      </c>
      <c r="G280" s="11">
        <v>82.44</v>
      </c>
      <c r="H280" s="7"/>
      <c r="I280" s="11">
        <v>82.44</v>
      </c>
    </row>
    <row r="281" s="1" customFormat="1" ht="23" customHeight="1" spans="1:9">
      <c r="A281" s="7" t="str">
        <f>"20050414426"</f>
        <v>20050414426</v>
      </c>
      <c r="B281" s="7" t="str">
        <f>"2005"</f>
        <v>2005</v>
      </c>
      <c r="C281" s="7" t="str">
        <f>"李涵"</f>
        <v>李涵</v>
      </c>
      <c r="D281" s="9">
        <v>11</v>
      </c>
      <c r="E281" s="9">
        <v>23</v>
      </c>
      <c r="F281" s="10" t="s">
        <v>10</v>
      </c>
      <c r="G281" s="11">
        <v>82.02</v>
      </c>
      <c r="H281" s="7"/>
      <c r="I281" s="11">
        <v>82.02</v>
      </c>
    </row>
    <row r="282" s="1" customFormat="1" ht="23" customHeight="1" spans="1:9">
      <c r="A282" s="7" t="str">
        <f>"20050414515"</f>
        <v>20050414515</v>
      </c>
      <c r="B282" s="7" t="str">
        <f>"2005"</f>
        <v>2005</v>
      </c>
      <c r="C282" s="7" t="str">
        <f>"余佳静"</f>
        <v>余佳静</v>
      </c>
      <c r="D282" s="9">
        <v>11</v>
      </c>
      <c r="E282" s="9">
        <v>24</v>
      </c>
      <c r="F282" s="10" t="s">
        <v>10</v>
      </c>
      <c r="G282" s="11">
        <v>81</v>
      </c>
      <c r="H282" s="7"/>
      <c r="I282" s="11">
        <v>81</v>
      </c>
    </row>
    <row r="283" s="1" customFormat="1" ht="23" customHeight="1" spans="1:9">
      <c r="A283" s="7" t="str">
        <f>"20050414612"</f>
        <v>20050414612</v>
      </c>
      <c r="B283" s="7" t="str">
        <f>"2005"</f>
        <v>2005</v>
      </c>
      <c r="C283" s="7" t="str">
        <f>"王明杰"</f>
        <v>王明杰</v>
      </c>
      <c r="D283" s="9">
        <v>11</v>
      </c>
      <c r="E283" s="9">
        <v>25</v>
      </c>
      <c r="F283" s="10" t="s">
        <v>10</v>
      </c>
      <c r="G283" s="11">
        <v>82.4</v>
      </c>
      <c r="H283" s="7"/>
      <c r="I283" s="11">
        <v>82.4</v>
      </c>
    </row>
    <row r="284" s="1" customFormat="1" ht="23" customHeight="1" spans="1:9">
      <c r="A284" s="7" t="str">
        <f>"30050620730"</f>
        <v>30050620730</v>
      </c>
      <c r="B284" s="7" t="str">
        <f>"3005"</f>
        <v>3005</v>
      </c>
      <c r="C284" s="7" t="str">
        <f>"马雨晴"</f>
        <v>马雨晴</v>
      </c>
      <c r="D284" s="9">
        <v>11</v>
      </c>
      <c r="E284" s="10" t="s">
        <v>11</v>
      </c>
      <c r="F284" s="10" t="s">
        <v>10</v>
      </c>
      <c r="G284" s="12" t="s">
        <v>11</v>
      </c>
      <c r="H284" s="7"/>
      <c r="I284" s="12" t="s">
        <v>11</v>
      </c>
    </row>
    <row r="285" s="1" customFormat="1" ht="23" customHeight="1" spans="1:9">
      <c r="A285" s="7" t="str">
        <f>"30050620812"</f>
        <v>30050620812</v>
      </c>
      <c r="B285" s="7" t="str">
        <f>"3005"</f>
        <v>3005</v>
      </c>
      <c r="C285" s="7" t="str">
        <f>"张艳"</f>
        <v>张艳</v>
      </c>
      <c r="D285" s="9">
        <v>11</v>
      </c>
      <c r="E285" s="10" t="s">
        <v>11</v>
      </c>
      <c r="F285" s="10" t="s">
        <v>10</v>
      </c>
      <c r="G285" s="12" t="s">
        <v>11</v>
      </c>
      <c r="H285" s="7"/>
      <c r="I285" s="12" t="s">
        <v>11</v>
      </c>
    </row>
    <row r="286" s="1" customFormat="1" ht="23" customHeight="1" spans="1:9">
      <c r="A286" s="7" t="str">
        <f>"30050620910"</f>
        <v>30050620910</v>
      </c>
      <c r="B286" s="7" t="str">
        <f>"3005"</f>
        <v>3005</v>
      </c>
      <c r="C286" s="7" t="str">
        <f>"石云威"</f>
        <v>石云威</v>
      </c>
      <c r="D286" s="9">
        <v>11</v>
      </c>
      <c r="E286" s="10" t="s">
        <v>11</v>
      </c>
      <c r="F286" s="10" t="s">
        <v>10</v>
      </c>
      <c r="G286" s="12" t="s">
        <v>11</v>
      </c>
      <c r="H286" s="7"/>
      <c r="I286" s="12" t="s">
        <v>11</v>
      </c>
    </row>
    <row r="287" s="1" customFormat="1" ht="23" customHeight="1" spans="1:9">
      <c r="A287" s="7" t="str">
        <f>"20060414917"</f>
        <v>20060414917</v>
      </c>
      <c r="B287" s="7" t="str">
        <f t="shared" ref="B287:B292" si="8">"2006"</f>
        <v>2006</v>
      </c>
      <c r="C287" s="7" t="str">
        <f>"付敏"</f>
        <v>付敏</v>
      </c>
      <c r="D287" s="9">
        <v>12</v>
      </c>
      <c r="E287" s="9">
        <v>1</v>
      </c>
      <c r="F287" s="10" t="s">
        <v>10</v>
      </c>
      <c r="G287" s="11">
        <v>83.04</v>
      </c>
      <c r="H287" s="7"/>
      <c r="I287" s="11">
        <v>83.04</v>
      </c>
    </row>
    <row r="288" s="1" customFormat="1" ht="23" customHeight="1" spans="1:9">
      <c r="A288" s="7" t="str">
        <f>"20060414803"</f>
        <v>20060414803</v>
      </c>
      <c r="B288" s="7" t="str">
        <f t="shared" si="8"/>
        <v>2006</v>
      </c>
      <c r="C288" s="7" t="str">
        <f>"李斯"</f>
        <v>李斯</v>
      </c>
      <c r="D288" s="9">
        <v>12</v>
      </c>
      <c r="E288" s="9">
        <v>2</v>
      </c>
      <c r="F288" s="10" t="s">
        <v>10</v>
      </c>
      <c r="G288" s="11">
        <v>84.24</v>
      </c>
      <c r="H288" s="7"/>
      <c r="I288" s="11">
        <v>84.24</v>
      </c>
    </row>
    <row r="289" s="1" customFormat="1" ht="23" customHeight="1" spans="1:9">
      <c r="A289" s="7" t="str">
        <f>"20060414822"</f>
        <v>20060414822</v>
      </c>
      <c r="B289" s="7" t="str">
        <f t="shared" si="8"/>
        <v>2006</v>
      </c>
      <c r="C289" s="7" t="str">
        <f>"鲁璇"</f>
        <v>鲁璇</v>
      </c>
      <c r="D289" s="9">
        <v>12</v>
      </c>
      <c r="E289" s="9">
        <v>3</v>
      </c>
      <c r="F289" s="10" t="s">
        <v>10</v>
      </c>
      <c r="G289" s="11">
        <v>81.78</v>
      </c>
      <c r="H289" s="7"/>
      <c r="I289" s="11">
        <v>81.78</v>
      </c>
    </row>
    <row r="290" s="1" customFormat="1" ht="23" customHeight="1" spans="1:9">
      <c r="A290" s="7" t="str">
        <f>"20060414810"</f>
        <v>20060414810</v>
      </c>
      <c r="B290" s="7" t="str">
        <f t="shared" si="8"/>
        <v>2006</v>
      </c>
      <c r="C290" s="7" t="str">
        <f>"袁素素"</f>
        <v>袁素素</v>
      </c>
      <c r="D290" s="9">
        <v>12</v>
      </c>
      <c r="E290" s="9">
        <v>4</v>
      </c>
      <c r="F290" s="10" t="s">
        <v>10</v>
      </c>
      <c r="G290" s="11">
        <v>83.48</v>
      </c>
      <c r="H290" s="7"/>
      <c r="I290" s="11">
        <v>83.48</v>
      </c>
    </row>
    <row r="291" s="1" customFormat="1" ht="23" customHeight="1" spans="1:9">
      <c r="A291" s="7" t="str">
        <f>"20060414726"</f>
        <v>20060414726</v>
      </c>
      <c r="B291" s="7" t="str">
        <f t="shared" si="8"/>
        <v>2006</v>
      </c>
      <c r="C291" s="7" t="str">
        <f>"杨玉乐"</f>
        <v>杨玉乐</v>
      </c>
      <c r="D291" s="9">
        <v>12</v>
      </c>
      <c r="E291" s="9">
        <v>5</v>
      </c>
      <c r="F291" s="10" t="s">
        <v>10</v>
      </c>
      <c r="G291" s="11">
        <v>84.44</v>
      </c>
      <c r="H291" s="7"/>
      <c r="I291" s="11">
        <v>84.44</v>
      </c>
    </row>
    <row r="292" s="1" customFormat="1" ht="23" customHeight="1" spans="1:9">
      <c r="A292" s="7" t="str">
        <f>"20060414918"</f>
        <v>20060414918</v>
      </c>
      <c r="B292" s="7" t="str">
        <f t="shared" si="8"/>
        <v>2006</v>
      </c>
      <c r="C292" s="7" t="str">
        <f>"李金阳"</f>
        <v>李金阳</v>
      </c>
      <c r="D292" s="9">
        <v>12</v>
      </c>
      <c r="E292" s="9">
        <v>6</v>
      </c>
      <c r="F292" s="10" t="s">
        <v>10</v>
      </c>
      <c r="G292" s="11">
        <v>84.14</v>
      </c>
      <c r="H292" s="7"/>
      <c r="I292" s="11">
        <v>84.14</v>
      </c>
    </row>
    <row r="293" s="1" customFormat="1" ht="23" customHeight="1" spans="1:9">
      <c r="A293" s="7" t="str">
        <f>"30060621022"</f>
        <v>30060621022</v>
      </c>
      <c r="B293" s="7" t="str">
        <f>"3006"</f>
        <v>3006</v>
      </c>
      <c r="C293" s="7" t="str">
        <f>"梁雪琴"</f>
        <v>梁雪琴</v>
      </c>
      <c r="D293" s="9">
        <v>12</v>
      </c>
      <c r="E293" s="9">
        <v>7</v>
      </c>
      <c r="F293" s="10" t="s">
        <v>10</v>
      </c>
      <c r="G293" s="11">
        <v>84.38</v>
      </c>
      <c r="H293" s="7"/>
      <c r="I293" s="11">
        <v>84.38</v>
      </c>
    </row>
    <row r="294" s="1" customFormat="1" ht="23" customHeight="1" spans="1:9">
      <c r="A294" s="7" t="str">
        <f>"30060621119"</f>
        <v>30060621119</v>
      </c>
      <c r="B294" s="7" t="str">
        <f>"3006"</f>
        <v>3006</v>
      </c>
      <c r="C294" s="7" t="str">
        <f>"张露"</f>
        <v>张露</v>
      </c>
      <c r="D294" s="9">
        <v>12</v>
      </c>
      <c r="E294" s="9">
        <v>8</v>
      </c>
      <c r="F294" s="10" t="s">
        <v>10</v>
      </c>
      <c r="G294" s="11">
        <v>84.02</v>
      </c>
      <c r="H294" s="7"/>
      <c r="I294" s="11">
        <v>84.02</v>
      </c>
    </row>
    <row r="295" s="1" customFormat="1" ht="23" customHeight="1" spans="1:9">
      <c r="A295" s="7" t="str">
        <f>"30060621105"</f>
        <v>30060621105</v>
      </c>
      <c r="B295" s="7" t="str">
        <f>"3006"</f>
        <v>3006</v>
      </c>
      <c r="C295" s="7" t="str">
        <f>"丁姗姗"</f>
        <v>丁姗姗</v>
      </c>
      <c r="D295" s="9">
        <v>12</v>
      </c>
      <c r="E295" s="9">
        <v>9</v>
      </c>
      <c r="F295" s="10" t="s">
        <v>10</v>
      </c>
      <c r="G295" s="11">
        <v>84.24</v>
      </c>
      <c r="H295" s="7"/>
      <c r="I295" s="11">
        <v>84.24</v>
      </c>
    </row>
    <row r="296" s="1" customFormat="1" ht="23" customHeight="1" spans="1:9">
      <c r="A296" s="7" t="str">
        <f>"20060414817"</f>
        <v>20060414817</v>
      </c>
      <c r="B296" s="7" t="str">
        <f>"2006"</f>
        <v>2006</v>
      </c>
      <c r="C296" s="7" t="str">
        <f>"张天天"</f>
        <v>张天天</v>
      </c>
      <c r="D296" s="9">
        <v>12</v>
      </c>
      <c r="E296" s="9">
        <v>10</v>
      </c>
      <c r="F296" s="10" t="s">
        <v>10</v>
      </c>
      <c r="G296" s="11">
        <v>84.12</v>
      </c>
      <c r="H296" s="7"/>
      <c r="I296" s="11">
        <v>84.12</v>
      </c>
    </row>
    <row r="297" s="1" customFormat="1" ht="23" customHeight="1" spans="1:9">
      <c r="A297" s="7" t="str">
        <f>"30060621205"</f>
        <v>30060621205</v>
      </c>
      <c r="B297" s="7" t="str">
        <f>"3006"</f>
        <v>3006</v>
      </c>
      <c r="C297" s="7" t="str">
        <f>"黄小莹"</f>
        <v>黄小莹</v>
      </c>
      <c r="D297" s="9">
        <v>12</v>
      </c>
      <c r="E297" s="9">
        <v>11</v>
      </c>
      <c r="F297" s="10" t="s">
        <v>10</v>
      </c>
      <c r="G297" s="11">
        <v>81.72</v>
      </c>
      <c r="H297" s="7"/>
      <c r="I297" s="11">
        <v>81.72</v>
      </c>
    </row>
    <row r="298" s="1" customFormat="1" ht="23" customHeight="1" spans="1:9">
      <c r="A298" s="7" t="str">
        <f>"20060414811"</f>
        <v>20060414811</v>
      </c>
      <c r="B298" s="7" t="str">
        <f>"2006"</f>
        <v>2006</v>
      </c>
      <c r="C298" s="7" t="str">
        <f>"李英英"</f>
        <v>李英英</v>
      </c>
      <c r="D298" s="9">
        <v>12</v>
      </c>
      <c r="E298" s="9">
        <v>12</v>
      </c>
      <c r="F298" s="10" t="s">
        <v>10</v>
      </c>
      <c r="G298" s="11">
        <v>82.96</v>
      </c>
      <c r="H298" s="7"/>
      <c r="I298" s="11">
        <v>82.96</v>
      </c>
    </row>
    <row r="299" s="1" customFormat="1" ht="23" customHeight="1" spans="1:9">
      <c r="A299" s="7" t="str">
        <f>"30060621130"</f>
        <v>30060621130</v>
      </c>
      <c r="B299" s="7" t="str">
        <f>"3006"</f>
        <v>3006</v>
      </c>
      <c r="C299" s="7" t="str">
        <f>"张梦莎"</f>
        <v>张梦莎</v>
      </c>
      <c r="D299" s="9">
        <v>12</v>
      </c>
      <c r="E299" s="9">
        <v>13</v>
      </c>
      <c r="F299" s="10" t="s">
        <v>10</v>
      </c>
      <c r="G299" s="11">
        <v>83.42</v>
      </c>
      <c r="H299" s="7"/>
      <c r="I299" s="11">
        <v>83.42</v>
      </c>
    </row>
    <row r="300" s="1" customFormat="1" ht="23" customHeight="1" spans="1:9">
      <c r="A300" s="7" t="str">
        <f>"20060415006"</f>
        <v>20060415006</v>
      </c>
      <c r="B300" s="7" t="str">
        <f>"2006"</f>
        <v>2006</v>
      </c>
      <c r="C300" s="7" t="str">
        <f>"张梦杨"</f>
        <v>张梦杨</v>
      </c>
      <c r="D300" s="9">
        <v>12</v>
      </c>
      <c r="E300" s="9">
        <v>14</v>
      </c>
      <c r="F300" s="10" t="s">
        <v>10</v>
      </c>
      <c r="G300" s="11">
        <v>83.28</v>
      </c>
      <c r="H300" s="7"/>
      <c r="I300" s="11">
        <v>83.28</v>
      </c>
    </row>
    <row r="301" s="1" customFormat="1" ht="23" customHeight="1" spans="1:9">
      <c r="A301" s="7" t="str">
        <f>"20060414915"</f>
        <v>20060414915</v>
      </c>
      <c r="B301" s="7" t="str">
        <f>"2006"</f>
        <v>2006</v>
      </c>
      <c r="C301" s="7" t="str">
        <f>"朱怡源"</f>
        <v>朱怡源</v>
      </c>
      <c r="D301" s="9">
        <v>12</v>
      </c>
      <c r="E301" s="9">
        <v>15</v>
      </c>
      <c r="F301" s="10" t="s">
        <v>10</v>
      </c>
      <c r="G301" s="11">
        <v>83.98</v>
      </c>
      <c r="H301" s="7"/>
      <c r="I301" s="11">
        <v>83.98</v>
      </c>
    </row>
    <row r="302" s="1" customFormat="1" ht="23" customHeight="1" spans="1:9">
      <c r="A302" s="7" t="str">
        <f>"20060414820"</f>
        <v>20060414820</v>
      </c>
      <c r="B302" s="7" t="str">
        <f>"2006"</f>
        <v>2006</v>
      </c>
      <c r="C302" s="7" t="str">
        <f>"王小会"</f>
        <v>王小会</v>
      </c>
      <c r="D302" s="9">
        <v>12</v>
      </c>
      <c r="E302" s="9">
        <v>16</v>
      </c>
      <c r="F302" s="10" t="s">
        <v>10</v>
      </c>
      <c r="G302" s="11">
        <v>84.48</v>
      </c>
      <c r="H302" s="7"/>
      <c r="I302" s="11">
        <v>84.48</v>
      </c>
    </row>
    <row r="303" s="1" customFormat="1" ht="23" customHeight="1" spans="1:9">
      <c r="A303" s="7" t="str">
        <f>"20060414908"</f>
        <v>20060414908</v>
      </c>
      <c r="B303" s="7" t="str">
        <f>"2006"</f>
        <v>2006</v>
      </c>
      <c r="C303" s="7" t="str">
        <f>"胡静"</f>
        <v>胡静</v>
      </c>
      <c r="D303" s="9">
        <v>12</v>
      </c>
      <c r="E303" s="9">
        <v>17</v>
      </c>
      <c r="F303" s="10" t="s">
        <v>10</v>
      </c>
      <c r="G303" s="11">
        <v>83.74</v>
      </c>
      <c r="H303" s="7"/>
      <c r="I303" s="11">
        <v>83.74</v>
      </c>
    </row>
    <row r="304" s="1" customFormat="1" ht="23" customHeight="1" spans="1:9">
      <c r="A304" s="7" t="str">
        <f>"30060621007"</f>
        <v>30060621007</v>
      </c>
      <c r="B304" s="7" t="str">
        <f>"3006"</f>
        <v>3006</v>
      </c>
      <c r="C304" s="7" t="str">
        <f>"王安妮"</f>
        <v>王安妮</v>
      </c>
      <c r="D304" s="9">
        <v>12</v>
      </c>
      <c r="E304" s="9">
        <v>18</v>
      </c>
      <c r="F304" s="10" t="s">
        <v>10</v>
      </c>
      <c r="G304" s="11">
        <v>84.54</v>
      </c>
      <c r="H304" s="7"/>
      <c r="I304" s="11">
        <v>84.54</v>
      </c>
    </row>
    <row r="305" s="1" customFormat="1" ht="23" customHeight="1" spans="1:9">
      <c r="A305" s="7" t="str">
        <f>"30060621009"</f>
        <v>30060621009</v>
      </c>
      <c r="B305" s="7" t="str">
        <f>"3006"</f>
        <v>3006</v>
      </c>
      <c r="C305" s="7" t="str">
        <f>"侯满"</f>
        <v>侯满</v>
      </c>
      <c r="D305" s="9">
        <v>12</v>
      </c>
      <c r="E305" s="9">
        <v>19</v>
      </c>
      <c r="F305" s="10" t="s">
        <v>10</v>
      </c>
      <c r="G305" s="11">
        <v>83.82</v>
      </c>
      <c r="H305" s="7"/>
      <c r="I305" s="11">
        <v>83.82</v>
      </c>
    </row>
    <row r="306" s="1" customFormat="1" ht="23" customHeight="1" spans="1:9">
      <c r="A306" s="7" t="str">
        <f>"20060414819"</f>
        <v>20060414819</v>
      </c>
      <c r="B306" s="7" t="str">
        <f>"2006"</f>
        <v>2006</v>
      </c>
      <c r="C306" s="7" t="str">
        <f>"张健聪"</f>
        <v>张健聪</v>
      </c>
      <c r="D306" s="9">
        <v>12</v>
      </c>
      <c r="E306" s="9">
        <v>20</v>
      </c>
      <c r="F306" s="10" t="s">
        <v>10</v>
      </c>
      <c r="G306" s="11">
        <v>82.14</v>
      </c>
      <c r="H306" s="7"/>
      <c r="I306" s="11">
        <v>82.14</v>
      </c>
    </row>
    <row r="307" s="1" customFormat="1" ht="23" customHeight="1" spans="1:9">
      <c r="A307" s="7" t="str">
        <f>"30060621107"</f>
        <v>30060621107</v>
      </c>
      <c r="B307" s="7" t="str">
        <f>"3006"</f>
        <v>3006</v>
      </c>
      <c r="C307" s="7" t="str">
        <f>"何祖辉"</f>
        <v>何祖辉</v>
      </c>
      <c r="D307" s="9">
        <v>12</v>
      </c>
      <c r="E307" s="9">
        <v>21</v>
      </c>
      <c r="F307" s="10" t="s">
        <v>10</v>
      </c>
      <c r="G307" s="11">
        <v>83.34</v>
      </c>
      <c r="H307" s="7"/>
      <c r="I307" s="11">
        <v>83.34</v>
      </c>
    </row>
    <row r="308" s="1" customFormat="1" ht="23" customHeight="1" spans="1:9">
      <c r="A308" s="7" t="str">
        <f>"20060414818"</f>
        <v>20060414818</v>
      </c>
      <c r="B308" s="7" t="str">
        <f>"2006"</f>
        <v>2006</v>
      </c>
      <c r="C308" s="7" t="str">
        <f>"黄伟伟"</f>
        <v>黄伟伟</v>
      </c>
      <c r="D308" s="9">
        <v>12</v>
      </c>
      <c r="E308" s="9">
        <v>22</v>
      </c>
      <c r="F308" s="10" t="s">
        <v>10</v>
      </c>
      <c r="G308" s="11">
        <v>83.26</v>
      </c>
      <c r="H308" s="7"/>
      <c r="I308" s="11">
        <v>83.26</v>
      </c>
    </row>
    <row r="309" s="1" customFormat="1" ht="23" customHeight="1" spans="1:9">
      <c r="A309" s="7" t="str">
        <f>"30060621106"</f>
        <v>30060621106</v>
      </c>
      <c r="B309" s="7" t="str">
        <f>"3006"</f>
        <v>3006</v>
      </c>
      <c r="C309" s="7" t="str">
        <f>"宋海存"</f>
        <v>宋海存</v>
      </c>
      <c r="D309" s="9">
        <v>12</v>
      </c>
      <c r="E309" s="9">
        <v>23</v>
      </c>
      <c r="F309" s="10" t="s">
        <v>10</v>
      </c>
      <c r="G309" s="11">
        <v>83.34</v>
      </c>
      <c r="H309" s="7"/>
      <c r="I309" s="11">
        <v>83.34</v>
      </c>
    </row>
    <row r="310" s="1" customFormat="1" ht="23" customHeight="1" spans="1:9">
      <c r="A310" s="7" t="str">
        <f>"20060414921"</f>
        <v>20060414921</v>
      </c>
      <c r="B310" s="7" t="str">
        <f>"2006"</f>
        <v>2006</v>
      </c>
      <c r="C310" s="7" t="str">
        <f>"祝可可"</f>
        <v>祝可可</v>
      </c>
      <c r="D310" s="9">
        <v>12</v>
      </c>
      <c r="E310" s="9">
        <v>24</v>
      </c>
      <c r="F310" s="10" t="s">
        <v>10</v>
      </c>
      <c r="G310" s="11">
        <v>82.42</v>
      </c>
      <c r="H310" s="7"/>
      <c r="I310" s="11">
        <v>82.42</v>
      </c>
    </row>
    <row r="311" s="1" customFormat="1" ht="23" customHeight="1" spans="1:9">
      <c r="A311" s="7" t="str">
        <f>"20060414906"</f>
        <v>20060414906</v>
      </c>
      <c r="B311" s="7" t="str">
        <f>"2006"</f>
        <v>2006</v>
      </c>
      <c r="C311" s="7" t="str">
        <f>"刘会"</f>
        <v>刘会</v>
      </c>
      <c r="D311" s="9">
        <v>12</v>
      </c>
      <c r="E311" s="9">
        <v>25</v>
      </c>
      <c r="F311" s="10" t="s">
        <v>10</v>
      </c>
      <c r="G311" s="11">
        <v>82.08</v>
      </c>
      <c r="H311" s="7"/>
      <c r="I311" s="11">
        <v>82.08</v>
      </c>
    </row>
    <row r="312" s="1" customFormat="1" ht="23" customHeight="1" spans="1:9">
      <c r="A312" s="7" t="str">
        <f>"30060621101"</f>
        <v>30060621101</v>
      </c>
      <c r="B312" s="7" t="str">
        <f>"3006"</f>
        <v>3006</v>
      </c>
      <c r="C312" s="7" t="str">
        <f>"马文营"</f>
        <v>马文营</v>
      </c>
      <c r="D312" s="9">
        <v>12</v>
      </c>
      <c r="E312" s="9">
        <v>26</v>
      </c>
      <c r="F312" s="10" t="s">
        <v>10</v>
      </c>
      <c r="G312" s="11">
        <v>83.62</v>
      </c>
      <c r="H312" s="7"/>
      <c r="I312" s="11">
        <v>83.62</v>
      </c>
    </row>
    <row r="313" s="1" customFormat="1" ht="23" customHeight="1" spans="1:9">
      <c r="A313" s="7" t="str">
        <f>"20060414809"</f>
        <v>20060414809</v>
      </c>
      <c r="B313" s="7" t="str">
        <f>"2006"</f>
        <v>2006</v>
      </c>
      <c r="C313" s="7" t="str">
        <f>"马源哲"</f>
        <v>马源哲</v>
      </c>
      <c r="D313" s="9">
        <v>12</v>
      </c>
      <c r="E313" s="9">
        <v>27</v>
      </c>
      <c r="F313" s="10" t="s">
        <v>10</v>
      </c>
      <c r="G313" s="11">
        <v>81.84</v>
      </c>
      <c r="H313" s="7"/>
      <c r="I313" s="11">
        <v>81.84</v>
      </c>
    </row>
    <row r="314" s="1" customFormat="1" ht="23" customHeight="1" spans="1:9">
      <c r="A314" s="7" t="str">
        <f>"30060620925"</f>
        <v>30060620925</v>
      </c>
      <c r="B314" s="7" t="str">
        <f>"3006"</f>
        <v>3006</v>
      </c>
      <c r="C314" s="7" t="str">
        <f>"王晨曦"</f>
        <v>王晨曦</v>
      </c>
      <c r="D314" s="9">
        <v>12</v>
      </c>
      <c r="E314" s="9">
        <v>28</v>
      </c>
      <c r="F314" s="10" t="s">
        <v>10</v>
      </c>
      <c r="G314" s="11">
        <v>81.66</v>
      </c>
      <c r="H314" s="7"/>
      <c r="I314" s="11">
        <v>81.66</v>
      </c>
    </row>
    <row r="315" s="1" customFormat="1" ht="23" customHeight="1" spans="1:9">
      <c r="A315" s="7" t="str">
        <f>"20060414911"</f>
        <v>20060414911</v>
      </c>
      <c r="B315" s="7" t="str">
        <f>"2006"</f>
        <v>2006</v>
      </c>
      <c r="C315" s="7" t="str">
        <f>"刘娴"</f>
        <v>刘娴</v>
      </c>
      <c r="D315" s="9">
        <v>12</v>
      </c>
      <c r="E315" s="10" t="s">
        <v>11</v>
      </c>
      <c r="F315" s="10" t="s">
        <v>10</v>
      </c>
      <c r="G315" s="12" t="s">
        <v>11</v>
      </c>
      <c r="H315" s="7"/>
      <c r="I315" s="12" t="s">
        <v>11</v>
      </c>
    </row>
    <row r="316" s="1" customFormat="1" ht="23" customHeight="1" spans="1:9">
      <c r="A316" s="7" t="str">
        <f>"30060621008"</f>
        <v>30060621008</v>
      </c>
      <c r="B316" s="7" t="str">
        <f>"3006"</f>
        <v>3006</v>
      </c>
      <c r="C316" s="7" t="str">
        <f>"荘盼"</f>
        <v>荘盼</v>
      </c>
      <c r="D316" s="9">
        <v>12</v>
      </c>
      <c r="E316" s="10" t="s">
        <v>11</v>
      </c>
      <c r="F316" s="10" t="s">
        <v>10</v>
      </c>
      <c r="G316" s="12" t="s">
        <v>11</v>
      </c>
      <c r="H316" s="7"/>
      <c r="I316" s="12" t="s">
        <v>11</v>
      </c>
    </row>
    <row r="317" s="1" customFormat="1" ht="23" customHeight="1" spans="1:9">
      <c r="A317" s="7" t="str">
        <f>"30060621023"</f>
        <v>30060621023</v>
      </c>
      <c r="B317" s="7" t="str">
        <f>"3006"</f>
        <v>3006</v>
      </c>
      <c r="C317" s="7" t="str">
        <f>"祝福"</f>
        <v>祝福</v>
      </c>
      <c r="D317" s="9">
        <v>12</v>
      </c>
      <c r="E317" s="10" t="s">
        <v>11</v>
      </c>
      <c r="F317" s="10" t="s">
        <v>10</v>
      </c>
      <c r="G317" s="12" t="s">
        <v>11</v>
      </c>
      <c r="H317" s="7"/>
      <c r="I317" s="12" t="s">
        <v>11</v>
      </c>
    </row>
    <row r="318" s="1" customFormat="1" ht="23" customHeight="1" spans="1:9">
      <c r="A318" s="7" t="str">
        <f>"30060621030"</f>
        <v>30060621030</v>
      </c>
      <c r="B318" s="7" t="str">
        <f>"3006"</f>
        <v>3006</v>
      </c>
      <c r="C318" s="7" t="str">
        <f>"赵杨"</f>
        <v>赵杨</v>
      </c>
      <c r="D318" s="9">
        <v>12</v>
      </c>
      <c r="E318" s="10" t="s">
        <v>11</v>
      </c>
      <c r="F318" s="10" t="s">
        <v>10</v>
      </c>
      <c r="G318" s="12" t="s">
        <v>11</v>
      </c>
      <c r="H318" s="7"/>
      <c r="I318" s="12" t="s">
        <v>11</v>
      </c>
    </row>
    <row r="319" s="1" customFormat="1" ht="23" customHeight="1" spans="1:9">
      <c r="A319" s="7" t="str">
        <f>"30070621307"</f>
        <v>30070621307</v>
      </c>
      <c r="B319" s="7" t="str">
        <f>"3007"</f>
        <v>3007</v>
      </c>
      <c r="C319" s="7" t="str">
        <f>"胡艳娣"</f>
        <v>胡艳娣</v>
      </c>
      <c r="D319" s="9">
        <v>13</v>
      </c>
      <c r="E319" s="9">
        <v>1</v>
      </c>
      <c r="F319" s="10" t="s">
        <v>10</v>
      </c>
      <c r="G319" s="11">
        <v>82.44</v>
      </c>
      <c r="H319" s="7"/>
      <c r="I319" s="11">
        <v>82.44</v>
      </c>
    </row>
    <row r="320" s="1" customFormat="1" ht="23" customHeight="1" spans="1:9">
      <c r="A320" s="7" t="str">
        <f>"20070415111"</f>
        <v>20070415111</v>
      </c>
      <c r="B320" s="7" t="str">
        <f>"2007"</f>
        <v>2007</v>
      </c>
      <c r="C320" s="7" t="str">
        <f>"高玉甜"</f>
        <v>高玉甜</v>
      </c>
      <c r="D320" s="9">
        <v>13</v>
      </c>
      <c r="E320" s="9">
        <v>2</v>
      </c>
      <c r="F320" s="10" t="s">
        <v>10</v>
      </c>
      <c r="G320" s="11">
        <v>83.68</v>
      </c>
      <c r="H320" s="7"/>
      <c r="I320" s="11">
        <v>83.68</v>
      </c>
    </row>
    <row r="321" s="1" customFormat="1" ht="23" customHeight="1" spans="1:9">
      <c r="A321" s="7" t="str">
        <f>"30070621215"</f>
        <v>30070621215</v>
      </c>
      <c r="B321" s="7" t="str">
        <f>"3007"</f>
        <v>3007</v>
      </c>
      <c r="C321" s="7" t="str">
        <f>"张可鑫"</f>
        <v>张可鑫</v>
      </c>
      <c r="D321" s="9">
        <v>13</v>
      </c>
      <c r="E321" s="9">
        <v>3</v>
      </c>
      <c r="F321" s="10" t="s">
        <v>10</v>
      </c>
      <c r="G321" s="11">
        <v>83.32</v>
      </c>
      <c r="H321" s="7"/>
      <c r="I321" s="11">
        <v>83.32</v>
      </c>
    </row>
    <row r="322" s="1" customFormat="1" ht="23" customHeight="1" spans="1:9">
      <c r="A322" s="7" t="str">
        <f>"20070415223"</f>
        <v>20070415223</v>
      </c>
      <c r="B322" s="7" t="str">
        <f>"2007"</f>
        <v>2007</v>
      </c>
      <c r="C322" s="7" t="str">
        <f>"王洒洒"</f>
        <v>王洒洒</v>
      </c>
      <c r="D322" s="9">
        <v>13</v>
      </c>
      <c r="E322" s="9">
        <v>4</v>
      </c>
      <c r="F322" s="10" t="s">
        <v>10</v>
      </c>
      <c r="G322" s="11">
        <v>83.18</v>
      </c>
      <c r="H322" s="7"/>
      <c r="I322" s="11">
        <v>83.18</v>
      </c>
    </row>
    <row r="323" s="1" customFormat="1" ht="23" customHeight="1" spans="1:9">
      <c r="A323" s="7" t="str">
        <f>"30070621302"</f>
        <v>30070621302</v>
      </c>
      <c r="B323" s="7" t="str">
        <f>"3007"</f>
        <v>3007</v>
      </c>
      <c r="C323" s="7" t="str">
        <f>"彭乃珂"</f>
        <v>彭乃珂</v>
      </c>
      <c r="D323" s="9">
        <v>13</v>
      </c>
      <c r="E323" s="9">
        <v>5</v>
      </c>
      <c r="F323" s="10" t="s">
        <v>10</v>
      </c>
      <c r="G323" s="11">
        <v>84.06</v>
      </c>
      <c r="H323" s="7"/>
      <c r="I323" s="11">
        <v>84.06</v>
      </c>
    </row>
    <row r="324" s="1" customFormat="1" ht="23" customHeight="1" spans="1:9">
      <c r="A324" s="7" t="str">
        <f>"20070415302"</f>
        <v>20070415302</v>
      </c>
      <c r="B324" s="7" t="str">
        <f>"2007"</f>
        <v>2007</v>
      </c>
      <c r="C324" s="7" t="str">
        <f>"鲁媛"</f>
        <v>鲁媛</v>
      </c>
      <c r="D324" s="9">
        <v>13</v>
      </c>
      <c r="E324" s="9">
        <v>6</v>
      </c>
      <c r="F324" s="10" t="s">
        <v>10</v>
      </c>
      <c r="G324" s="11">
        <v>82.24</v>
      </c>
      <c r="H324" s="7"/>
      <c r="I324" s="11">
        <v>82.24</v>
      </c>
    </row>
    <row r="325" s="1" customFormat="1" ht="23" customHeight="1" spans="1:9">
      <c r="A325" s="7" t="str">
        <f>"30070621418"</f>
        <v>30070621418</v>
      </c>
      <c r="B325" s="7" t="str">
        <f>"3007"</f>
        <v>3007</v>
      </c>
      <c r="C325" s="7" t="str">
        <f>"王雯"</f>
        <v>王雯</v>
      </c>
      <c r="D325" s="9">
        <v>13</v>
      </c>
      <c r="E325" s="9">
        <v>7</v>
      </c>
      <c r="F325" s="10" t="s">
        <v>10</v>
      </c>
      <c r="G325" s="11">
        <v>82.86</v>
      </c>
      <c r="H325" s="7"/>
      <c r="I325" s="11">
        <v>82.86</v>
      </c>
    </row>
    <row r="326" s="1" customFormat="1" ht="23" customHeight="1" spans="1:9">
      <c r="A326" s="7" t="str">
        <f>"30070621407"</f>
        <v>30070621407</v>
      </c>
      <c r="B326" s="7" t="str">
        <f>"3007"</f>
        <v>3007</v>
      </c>
      <c r="C326" s="7" t="str">
        <f>"杜春雨"</f>
        <v>杜春雨</v>
      </c>
      <c r="D326" s="9">
        <v>13</v>
      </c>
      <c r="E326" s="9">
        <v>8</v>
      </c>
      <c r="F326" s="10" t="s">
        <v>10</v>
      </c>
      <c r="G326" s="11">
        <v>83.16</v>
      </c>
      <c r="H326" s="7"/>
      <c r="I326" s="11">
        <v>83.16</v>
      </c>
    </row>
    <row r="327" s="1" customFormat="1" ht="23" customHeight="1" spans="1:9">
      <c r="A327" s="7" t="str">
        <f>"30070621301"</f>
        <v>30070621301</v>
      </c>
      <c r="B327" s="7" t="str">
        <f>"3007"</f>
        <v>3007</v>
      </c>
      <c r="C327" s="7" t="str">
        <f>"韦玉莹"</f>
        <v>韦玉莹</v>
      </c>
      <c r="D327" s="9">
        <v>13</v>
      </c>
      <c r="E327" s="9">
        <v>9</v>
      </c>
      <c r="F327" s="10" t="s">
        <v>10</v>
      </c>
      <c r="G327" s="11">
        <v>83.18</v>
      </c>
      <c r="H327" s="7"/>
      <c r="I327" s="11">
        <v>83.18</v>
      </c>
    </row>
    <row r="328" s="1" customFormat="1" ht="23" customHeight="1" spans="1:9">
      <c r="A328" s="7" t="str">
        <f>"30070621507"</f>
        <v>30070621507</v>
      </c>
      <c r="B328" s="7" t="str">
        <f>"3007"</f>
        <v>3007</v>
      </c>
      <c r="C328" s="7" t="str">
        <f>"刘蒙蒙"</f>
        <v>刘蒙蒙</v>
      </c>
      <c r="D328" s="9">
        <v>13</v>
      </c>
      <c r="E328" s="9">
        <v>10</v>
      </c>
      <c r="F328" s="10" t="s">
        <v>10</v>
      </c>
      <c r="G328" s="11">
        <v>83.36</v>
      </c>
      <c r="H328" s="7"/>
      <c r="I328" s="11">
        <v>83.36</v>
      </c>
    </row>
    <row r="329" s="1" customFormat="1" ht="23" customHeight="1" spans="1:9">
      <c r="A329" s="7" t="str">
        <f>"20070415025"</f>
        <v>20070415025</v>
      </c>
      <c r="B329" s="7" t="str">
        <f t="shared" ref="B329:B334" si="9">"2007"</f>
        <v>2007</v>
      </c>
      <c r="C329" s="7" t="str">
        <f>"谢金玲"</f>
        <v>谢金玲</v>
      </c>
      <c r="D329" s="9">
        <v>13</v>
      </c>
      <c r="E329" s="9">
        <v>11</v>
      </c>
      <c r="F329" s="10" t="s">
        <v>10</v>
      </c>
      <c r="G329" s="11">
        <v>82.78</v>
      </c>
      <c r="H329" s="7"/>
      <c r="I329" s="11">
        <v>82.78</v>
      </c>
    </row>
    <row r="330" s="1" customFormat="1" ht="23" customHeight="1" spans="1:9">
      <c r="A330" s="7" t="str">
        <f>"20070415327"</f>
        <v>20070415327</v>
      </c>
      <c r="B330" s="7" t="str">
        <f t="shared" si="9"/>
        <v>2007</v>
      </c>
      <c r="C330" s="7" t="str">
        <f>"高园园"</f>
        <v>高园园</v>
      </c>
      <c r="D330" s="9">
        <v>13</v>
      </c>
      <c r="E330" s="9">
        <v>12</v>
      </c>
      <c r="F330" s="10" t="s">
        <v>10</v>
      </c>
      <c r="G330" s="11">
        <v>83.2</v>
      </c>
      <c r="H330" s="7"/>
      <c r="I330" s="11">
        <v>83.2</v>
      </c>
    </row>
    <row r="331" s="1" customFormat="1" ht="23" customHeight="1" spans="1:9">
      <c r="A331" s="7" t="str">
        <f>"20070415024"</f>
        <v>20070415024</v>
      </c>
      <c r="B331" s="7" t="str">
        <f t="shared" si="9"/>
        <v>2007</v>
      </c>
      <c r="C331" s="7" t="str">
        <f>"刘智丹"</f>
        <v>刘智丹</v>
      </c>
      <c r="D331" s="9">
        <v>13</v>
      </c>
      <c r="E331" s="9">
        <v>13</v>
      </c>
      <c r="F331" s="10" t="s">
        <v>10</v>
      </c>
      <c r="G331" s="11">
        <v>82.36</v>
      </c>
      <c r="H331" s="7"/>
      <c r="I331" s="11">
        <v>82.36</v>
      </c>
    </row>
    <row r="332" s="1" customFormat="1" ht="23" customHeight="1" spans="1:9">
      <c r="A332" s="7" t="str">
        <f>"20070415122"</f>
        <v>20070415122</v>
      </c>
      <c r="B332" s="7" t="str">
        <f t="shared" si="9"/>
        <v>2007</v>
      </c>
      <c r="C332" s="7" t="str">
        <f>"李歆"</f>
        <v>李歆</v>
      </c>
      <c r="D332" s="9">
        <v>13</v>
      </c>
      <c r="E332" s="9">
        <v>14</v>
      </c>
      <c r="F332" s="10" t="s">
        <v>10</v>
      </c>
      <c r="G332" s="11">
        <v>82.44</v>
      </c>
      <c r="H332" s="7"/>
      <c r="I332" s="11">
        <v>82.44</v>
      </c>
    </row>
    <row r="333" s="1" customFormat="1" ht="23" customHeight="1" spans="1:9">
      <c r="A333" s="7" t="str">
        <f>"20070415119"</f>
        <v>20070415119</v>
      </c>
      <c r="B333" s="7" t="str">
        <f t="shared" si="9"/>
        <v>2007</v>
      </c>
      <c r="C333" s="7" t="str">
        <f>"张玉鑫"</f>
        <v>张玉鑫</v>
      </c>
      <c r="D333" s="9">
        <v>13</v>
      </c>
      <c r="E333" s="9">
        <v>15</v>
      </c>
      <c r="F333" s="10" t="s">
        <v>10</v>
      </c>
      <c r="G333" s="11">
        <v>81.74</v>
      </c>
      <c r="H333" s="7"/>
      <c r="I333" s="11">
        <v>81.74</v>
      </c>
    </row>
    <row r="334" s="1" customFormat="1" ht="23" customHeight="1" spans="1:9">
      <c r="A334" s="7" t="str">
        <f>"20070415130"</f>
        <v>20070415130</v>
      </c>
      <c r="B334" s="7" t="str">
        <f t="shared" si="9"/>
        <v>2007</v>
      </c>
      <c r="C334" s="7" t="str">
        <f>"范培婷"</f>
        <v>范培婷</v>
      </c>
      <c r="D334" s="9">
        <v>13</v>
      </c>
      <c r="E334" s="9">
        <v>16</v>
      </c>
      <c r="F334" s="10" t="s">
        <v>10</v>
      </c>
      <c r="G334" s="11">
        <v>82.5</v>
      </c>
      <c r="H334" s="7"/>
      <c r="I334" s="11">
        <v>82.5</v>
      </c>
    </row>
    <row r="335" s="1" customFormat="1" ht="23" customHeight="1" spans="1:9">
      <c r="A335" s="7" t="str">
        <f>"30070621326"</f>
        <v>30070621326</v>
      </c>
      <c r="B335" s="7" t="str">
        <f>"3007"</f>
        <v>3007</v>
      </c>
      <c r="C335" s="7" t="str">
        <f>"武贝贝"</f>
        <v>武贝贝</v>
      </c>
      <c r="D335" s="9">
        <v>13</v>
      </c>
      <c r="E335" s="9">
        <v>17</v>
      </c>
      <c r="F335" s="10" t="s">
        <v>10</v>
      </c>
      <c r="G335" s="11">
        <v>82.36</v>
      </c>
      <c r="H335" s="7"/>
      <c r="I335" s="11">
        <v>82.36</v>
      </c>
    </row>
    <row r="336" s="1" customFormat="1" ht="23" customHeight="1" spans="1:9">
      <c r="A336" s="7" t="str">
        <f>"20070415323"</f>
        <v>20070415323</v>
      </c>
      <c r="B336" s="7" t="str">
        <f>"2007"</f>
        <v>2007</v>
      </c>
      <c r="C336" s="7" t="str">
        <f>"刘新"</f>
        <v>刘新</v>
      </c>
      <c r="D336" s="9">
        <v>13</v>
      </c>
      <c r="E336" s="9">
        <v>18</v>
      </c>
      <c r="F336" s="10" t="s">
        <v>10</v>
      </c>
      <c r="G336" s="11">
        <v>84.16</v>
      </c>
      <c r="H336" s="7"/>
      <c r="I336" s="11">
        <v>84.16</v>
      </c>
    </row>
    <row r="337" s="1" customFormat="1" ht="23" customHeight="1" spans="1:9">
      <c r="A337" s="7" t="str">
        <f>"20070415210"</f>
        <v>20070415210</v>
      </c>
      <c r="B337" s="7" t="str">
        <f>"2007"</f>
        <v>2007</v>
      </c>
      <c r="C337" s="7" t="str">
        <f>"宋惠"</f>
        <v>宋惠</v>
      </c>
      <c r="D337" s="9">
        <v>13</v>
      </c>
      <c r="E337" s="9">
        <v>19</v>
      </c>
      <c r="F337" s="10" t="s">
        <v>10</v>
      </c>
      <c r="G337" s="11">
        <v>83.34</v>
      </c>
      <c r="H337" s="7"/>
      <c r="I337" s="11">
        <v>83.34</v>
      </c>
    </row>
    <row r="338" s="1" customFormat="1" ht="23" customHeight="1" spans="1:9">
      <c r="A338" s="7" t="str">
        <f>"30070621505"</f>
        <v>30070621505</v>
      </c>
      <c r="B338" s="7" t="str">
        <f>"3007"</f>
        <v>3007</v>
      </c>
      <c r="C338" s="7" t="str">
        <f>"杨成琳"</f>
        <v>杨成琳</v>
      </c>
      <c r="D338" s="9">
        <v>13</v>
      </c>
      <c r="E338" s="9">
        <v>20</v>
      </c>
      <c r="F338" s="10" t="s">
        <v>10</v>
      </c>
      <c r="G338" s="11">
        <v>81.82</v>
      </c>
      <c r="H338" s="7"/>
      <c r="I338" s="11">
        <v>81.82</v>
      </c>
    </row>
    <row r="339" s="1" customFormat="1" ht="23" customHeight="1" spans="1:9">
      <c r="A339" s="7" t="str">
        <f>"20070415026"</f>
        <v>20070415026</v>
      </c>
      <c r="B339" s="7" t="str">
        <f>"2007"</f>
        <v>2007</v>
      </c>
      <c r="C339" s="7" t="str">
        <f>"王桂芳"</f>
        <v>王桂芳</v>
      </c>
      <c r="D339" s="9">
        <v>13</v>
      </c>
      <c r="E339" s="9">
        <v>21</v>
      </c>
      <c r="F339" s="10" t="s">
        <v>10</v>
      </c>
      <c r="G339" s="11">
        <v>83.34</v>
      </c>
      <c r="H339" s="7"/>
      <c r="I339" s="11">
        <v>83.34</v>
      </c>
    </row>
    <row r="340" s="1" customFormat="1" ht="23" customHeight="1" spans="1:9">
      <c r="A340" s="7" t="str">
        <f>"20070415228"</f>
        <v>20070415228</v>
      </c>
      <c r="B340" s="7" t="str">
        <f>"2007"</f>
        <v>2007</v>
      </c>
      <c r="C340" s="7" t="str">
        <f>"郭婷婷"</f>
        <v>郭婷婷</v>
      </c>
      <c r="D340" s="9">
        <v>13</v>
      </c>
      <c r="E340" s="9">
        <v>22</v>
      </c>
      <c r="F340" s="10" t="s">
        <v>10</v>
      </c>
      <c r="G340" s="11">
        <v>83.12</v>
      </c>
      <c r="H340" s="7"/>
      <c r="I340" s="11">
        <v>83.12</v>
      </c>
    </row>
    <row r="341" s="1" customFormat="1" ht="23" customHeight="1" spans="1:9">
      <c r="A341" s="7" t="str">
        <f>"20070415325"</f>
        <v>20070415325</v>
      </c>
      <c r="B341" s="7" t="str">
        <f>"2007"</f>
        <v>2007</v>
      </c>
      <c r="C341" s="7" t="str">
        <f>"王琳"</f>
        <v>王琳</v>
      </c>
      <c r="D341" s="9">
        <v>13</v>
      </c>
      <c r="E341" s="9">
        <v>23</v>
      </c>
      <c r="F341" s="10" t="s">
        <v>10</v>
      </c>
      <c r="G341" s="11">
        <v>83.98</v>
      </c>
      <c r="H341" s="7"/>
      <c r="I341" s="11">
        <v>83.98</v>
      </c>
    </row>
    <row r="342" s="1" customFormat="1" ht="23" customHeight="1" spans="1:9">
      <c r="A342" s="7" t="str">
        <f>"20070415129"</f>
        <v>20070415129</v>
      </c>
      <c r="B342" s="7" t="str">
        <f>"2007"</f>
        <v>2007</v>
      </c>
      <c r="C342" s="7" t="str">
        <f>"李苗苗"</f>
        <v>李苗苗</v>
      </c>
      <c r="D342" s="9">
        <v>13</v>
      </c>
      <c r="E342" s="9">
        <v>24</v>
      </c>
      <c r="F342" s="10" t="s">
        <v>10</v>
      </c>
      <c r="G342" s="11">
        <v>84.4</v>
      </c>
      <c r="H342" s="7"/>
      <c r="I342" s="11">
        <v>84.4</v>
      </c>
    </row>
    <row r="343" s="1" customFormat="1" ht="23" customHeight="1" spans="1:9">
      <c r="A343" s="7" t="str">
        <f>"20070415301"</f>
        <v>20070415301</v>
      </c>
      <c r="B343" s="7" t="str">
        <f>"2007"</f>
        <v>2007</v>
      </c>
      <c r="C343" s="7" t="str">
        <f>"张梦晴"</f>
        <v>张梦晴</v>
      </c>
      <c r="D343" s="9">
        <v>13</v>
      </c>
      <c r="E343" s="9">
        <v>25</v>
      </c>
      <c r="F343" s="10" t="s">
        <v>10</v>
      </c>
      <c r="G343" s="11">
        <v>82.96</v>
      </c>
      <c r="H343" s="7"/>
      <c r="I343" s="11">
        <v>82.96</v>
      </c>
    </row>
    <row r="344" s="1" customFormat="1" ht="23" customHeight="1" spans="1:9">
      <c r="A344" s="7" t="str">
        <f>"30070621430"</f>
        <v>30070621430</v>
      </c>
      <c r="B344" s="7" t="str">
        <f>"3007"</f>
        <v>3007</v>
      </c>
      <c r="C344" s="7" t="str">
        <f>"肖雪"</f>
        <v>肖雪</v>
      </c>
      <c r="D344" s="9">
        <v>13</v>
      </c>
      <c r="E344" s="9">
        <v>26</v>
      </c>
      <c r="F344" s="10" t="s">
        <v>10</v>
      </c>
      <c r="G344" s="11">
        <v>83.64</v>
      </c>
      <c r="H344" s="7"/>
      <c r="I344" s="11">
        <v>83.64</v>
      </c>
    </row>
    <row r="345" s="1" customFormat="1" ht="23" customHeight="1" spans="1:9">
      <c r="A345" s="7" t="str">
        <f>"20070415208"</f>
        <v>20070415208</v>
      </c>
      <c r="B345" s="7" t="str">
        <f>"2007"</f>
        <v>2007</v>
      </c>
      <c r="C345" s="7" t="str">
        <f>"胡佳怡"</f>
        <v>胡佳怡</v>
      </c>
      <c r="D345" s="9">
        <v>13</v>
      </c>
      <c r="E345" s="9">
        <v>27</v>
      </c>
      <c r="F345" s="10" t="s">
        <v>10</v>
      </c>
      <c r="G345" s="11">
        <v>82.26</v>
      </c>
      <c r="H345" s="7"/>
      <c r="I345" s="11">
        <v>82.26</v>
      </c>
    </row>
    <row r="346" s="1" customFormat="1" ht="23" customHeight="1" spans="1:9">
      <c r="A346" s="7" t="str">
        <f>"30070621304"</f>
        <v>30070621304</v>
      </c>
      <c r="B346" s="7" t="str">
        <f>"3007"</f>
        <v>3007</v>
      </c>
      <c r="C346" s="7" t="str">
        <f>"李佩珊"</f>
        <v>李佩珊</v>
      </c>
      <c r="D346" s="9">
        <v>13</v>
      </c>
      <c r="E346" s="10" t="s">
        <v>11</v>
      </c>
      <c r="F346" s="10" t="s">
        <v>10</v>
      </c>
      <c r="G346" s="12" t="s">
        <v>11</v>
      </c>
      <c r="H346" s="7"/>
      <c r="I346" s="12" t="s">
        <v>11</v>
      </c>
    </row>
    <row r="347" s="1" customFormat="1" ht="23" customHeight="1" spans="1:9">
      <c r="A347" s="7" t="str">
        <f>"30070621325"</f>
        <v>30070621325</v>
      </c>
      <c r="B347" s="7" t="str">
        <f>"3007"</f>
        <v>3007</v>
      </c>
      <c r="C347" s="7" t="str">
        <f>"党倩"</f>
        <v>党倩</v>
      </c>
      <c r="D347" s="9">
        <v>13</v>
      </c>
      <c r="E347" s="10" t="s">
        <v>11</v>
      </c>
      <c r="F347" s="10" t="s">
        <v>10</v>
      </c>
      <c r="G347" s="12" t="s">
        <v>11</v>
      </c>
      <c r="H347" s="7"/>
      <c r="I347" s="12" t="s">
        <v>11</v>
      </c>
    </row>
    <row r="348" s="1" customFormat="1" ht="23" customHeight="1" spans="1:9">
      <c r="A348" s="7" t="str">
        <f>"30070621411"</f>
        <v>30070621411</v>
      </c>
      <c r="B348" s="7" t="str">
        <f>"3007"</f>
        <v>3007</v>
      </c>
      <c r="C348" s="7" t="str">
        <f>"卢聪"</f>
        <v>卢聪</v>
      </c>
      <c r="D348" s="9">
        <v>13</v>
      </c>
      <c r="E348" s="10" t="s">
        <v>11</v>
      </c>
      <c r="F348" s="10" t="s">
        <v>10</v>
      </c>
      <c r="G348" s="12" t="s">
        <v>11</v>
      </c>
      <c r="H348" s="7"/>
      <c r="I348" s="12" t="s">
        <v>11</v>
      </c>
    </row>
    <row r="349" s="1" customFormat="1" ht="23" customHeight="1" spans="1:9">
      <c r="A349" s="7" t="str">
        <f>"30070621419"</f>
        <v>30070621419</v>
      </c>
      <c r="B349" s="7" t="str">
        <f>"3007"</f>
        <v>3007</v>
      </c>
      <c r="C349" s="7" t="str">
        <f>"丁学真"</f>
        <v>丁学真</v>
      </c>
      <c r="D349" s="9">
        <v>13</v>
      </c>
      <c r="E349" s="10" t="s">
        <v>11</v>
      </c>
      <c r="F349" s="10" t="s">
        <v>10</v>
      </c>
      <c r="G349" s="12" t="s">
        <v>11</v>
      </c>
      <c r="H349" s="7"/>
      <c r="I349" s="12" t="s">
        <v>11</v>
      </c>
    </row>
    <row r="350" s="1" customFormat="1" ht="23" customHeight="1" spans="1:9">
      <c r="A350" s="7" t="str">
        <f>"20080415515"</f>
        <v>20080415515</v>
      </c>
      <c r="B350" s="7" t="str">
        <f>"2008"</f>
        <v>2008</v>
      </c>
      <c r="C350" s="7" t="str">
        <f>"赵幸幸"</f>
        <v>赵幸幸</v>
      </c>
      <c r="D350" s="9">
        <v>14</v>
      </c>
      <c r="E350" s="9">
        <v>1</v>
      </c>
      <c r="F350" s="10" t="s">
        <v>10</v>
      </c>
      <c r="G350" s="11">
        <v>83.42</v>
      </c>
      <c r="H350" s="7"/>
      <c r="I350" s="11">
        <v>83.42</v>
      </c>
    </row>
    <row r="351" s="1" customFormat="1" ht="23" customHeight="1" spans="1:9">
      <c r="A351" s="7" t="str">
        <f>"30080621705"</f>
        <v>30080621705</v>
      </c>
      <c r="B351" s="7" t="str">
        <f>"3008"</f>
        <v>3008</v>
      </c>
      <c r="C351" s="7" t="str">
        <f>"张冰"</f>
        <v>张冰</v>
      </c>
      <c r="D351" s="9">
        <v>14</v>
      </c>
      <c r="E351" s="9">
        <v>2</v>
      </c>
      <c r="F351" s="10" t="s">
        <v>10</v>
      </c>
      <c r="G351" s="11">
        <v>80.9</v>
      </c>
      <c r="H351" s="7"/>
      <c r="I351" s="11">
        <v>80.9</v>
      </c>
    </row>
    <row r="352" s="1" customFormat="1" ht="23" customHeight="1" spans="1:9">
      <c r="A352" s="7" t="str">
        <f>"20080415419"</f>
        <v>20080415419</v>
      </c>
      <c r="B352" s="7" t="str">
        <f>"2008"</f>
        <v>2008</v>
      </c>
      <c r="C352" s="7" t="str">
        <f>"李影影"</f>
        <v>李影影</v>
      </c>
      <c r="D352" s="9">
        <v>14</v>
      </c>
      <c r="E352" s="9">
        <v>3</v>
      </c>
      <c r="F352" s="10" t="s">
        <v>10</v>
      </c>
      <c r="G352" s="11">
        <v>81.78</v>
      </c>
      <c r="H352" s="7"/>
      <c r="I352" s="11">
        <v>81.78</v>
      </c>
    </row>
    <row r="353" s="1" customFormat="1" ht="23" customHeight="1" spans="1:9">
      <c r="A353" s="7" t="str">
        <f>"20080415526"</f>
        <v>20080415526</v>
      </c>
      <c r="B353" s="7" t="str">
        <f>"2008"</f>
        <v>2008</v>
      </c>
      <c r="C353" s="7" t="str">
        <f>"耿爽"</f>
        <v>耿爽</v>
      </c>
      <c r="D353" s="9">
        <v>14</v>
      </c>
      <c r="E353" s="9">
        <v>4</v>
      </c>
      <c r="F353" s="10" t="s">
        <v>10</v>
      </c>
      <c r="G353" s="11">
        <v>81.6</v>
      </c>
      <c r="H353" s="7"/>
      <c r="I353" s="11">
        <v>81.6</v>
      </c>
    </row>
    <row r="354" s="1" customFormat="1" ht="23" customHeight="1" spans="1:9">
      <c r="A354" s="7" t="str">
        <f>"20080415427"</f>
        <v>20080415427</v>
      </c>
      <c r="B354" s="7" t="str">
        <f>"2008"</f>
        <v>2008</v>
      </c>
      <c r="C354" s="7" t="str">
        <f>"余鑫鑫"</f>
        <v>余鑫鑫</v>
      </c>
      <c r="D354" s="9">
        <v>14</v>
      </c>
      <c r="E354" s="9">
        <v>5</v>
      </c>
      <c r="F354" s="10" t="s">
        <v>10</v>
      </c>
      <c r="G354" s="11">
        <v>81.76</v>
      </c>
      <c r="H354" s="7"/>
      <c r="I354" s="11">
        <v>81.76</v>
      </c>
    </row>
    <row r="355" s="1" customFormat="1" ht="23" customHeight="1" spans="1:9">
      <c r="A355" s="7" t="str">
        <f>"30080621527"</f>
        <v>30080621527</v>
      </c>
      <c r="B355" s="7" t="str">
        <f>"3008"</f>
        <v>3008</v>
      </c>
      <c r="C355" s="7" t="str">
        <f>"胡娟"</f>
        <v>胡娟</v>
      </c>
      <c r="D355" s="9">
        <v>14</v>
      </c>
      <c r="E355" s="9">
        <v>6</v>
      </c>
      <c r="F355" s="10" t="s">
        <v>10</v>
      </c>
      <c r="G355" s="11">
        <v>81.98</v>
      </c>
      <c r="H355" s="7"/>
      <c r="I355" s="11">
        <v>81.98</v>
      </c>
    </row>
    <row r="356" s="1" customFormat="1" ht="23" customHeight="1" spans="1:9">
      <c r="A356" s="7" t="str">
        <f>"30080621722"</f>
        <v>30080621722</v>
      </c>
      <c r="B356" s="7" t="str">
        <f>"3008"</f>
        <v>3008</v>
      </c>
      <c r="C356" s="7" t="str">
        <f>"高阁"</f>
        <v>高阁</v>
      </c>
      <c r="D356" s="9">
        <v>14</v>
      </c>
      <c r="E356" s="9">
        <v>7</v>
      </c>
      <c r="F356" s="10" t="s">
        <v>10</v>
      </c>
      <c r="G356" s="11">
        <v>80.32</v>
      </c>
      <c r="H356" s="7"/>
      <c r="I356" s="11">
        <v>80.32</v>
      </c>
    </row>
    <row r="357" s="1" customFormat="1" ht="23" customHeight="1" spans="1:9">
      <c r="A357" s="7" t="str">
        <f>"20080415612"</f>
        <v>20080415612</v>
      </c>
      <c r="B357" s="7" t="str">
        <f>"2008"</f>
        <v>2008</v>
      </c>
      <c r="C357" s="7" t="str">
        <f>"周肃霜"</f>
        <v>周肃霜</v>
      </c>
      <c r="D357" s="9">
        <v>14</v>
      </c>
      <c r="E357" s="9">
        <v>8</v>
      </c>
      <c r="F357" s="10" t="s">
        <v>10</v>
      </c>
      <c r="G357" s="11">
        <v>83.1</v>
      </c>
      <c r="H357" s="7"/>
      <c r="I357" s="11">
        <v>83.1</v>
      </c>
    </row>
    <row r="358" s="1" customFormat="1" ht="23" customHeight="1" spans="1:9">
      <c r="A358" s="7" t="str">
        <f>"30080621712"</f>
        <v>30080621712</v>
      </c>
      <c r="B358" s="7" t="str">
        <f>"3008"</f>
        <v>3008</v>
      </c>
      <c r="C358" s="7" t="str">
        <f>"华孟飞"</f>
        <v>华孟飞</v>
      </c>
      <c r="D358" s="9">
        <v>14</v>
      </c>
      <c r="E358" s="9">
        <v>9</v>
      </c>
      <c r="F358" s="10" t="s">
        <v>10</v>
      </c>
      <c r="G358" s="11">
        <v>81.96</v>
      </c>
      <c r="H358" s="7"/>
      <c r="I358" s="11">
        <v>81.96</v>
      </c>
    </row>
    <row r="359" s="1" customFormat="1" ht="23" customHeight="1" spans="1:9">
      <c r="A359" s="7" t="str">
        <f>"20080415403"</f>
        <v>20080415403</v>
      </c>
      <c r="B359" s="7" t="str">
        <f>"2008"</f>
        <v>2008</v>
      </c>
      <c r="C359" s="7" t="str">
        <f>"廉雨晴"</f>
        <v>廉雨晴</v>
      </c>
      <c r="D359" s="9">
        <v>14</v>
      </c>
      <c r="E359" s="9">
        <v>10</v>
      </c>
      <c r="F359" s="10" t="s">
        <v>10</v>
      </c>
      <c r="G359" s="11">
        <v>81.9</v>
      </c>
      <c r="H359" s="7"/>
      <c r="I359" s="11">
        <v>81.9</v>
      </c>
    </row>
    <row r="360" s="1" customFormat="1" ht="23" customHeight="1" spans="1:9">
      <c r="A360" s="7" t="str">
        <f>"20080415329"</f>
        <v>20080415329</v>
      </c>
      <c r="B360" s="7" t="str">
        <f>"2008"</f>
        <v>2008</v>
      </c>
      <c r="C360" s="7" t="str">
        <f>"赵晶莹"</f>
        <v>赵晶莹</v>
      </c>
      <c r="D360" s="9">
        <v>14</v>
      </c>
      <c r="E360" s="9">
        <v>11</v>
      </c>
      <c r="F360" s="10" t="s">
        <v>10</v>
      </c>
      <c r="G360" s="11">
        <v>82.44</v>
      </c>
      <c r="H360" s="7"/>
      <c r="I360" s="11">
        <v>82.44</v>
      </c>
    </row>
    <row r="361" s="1" customFormat="1" ht="23" customHeight="1" spans="1:9">
      <c r="A361" s="7" t="str">
        <f>"30080621608"</f>
        <v>30080621608</v>
      </c>
      <c r="B361" s="7" t="str">
        <f>"3008"</f>
        <v>3008</v>
      </c>
      <c r="C361" s="7" t="str">
        <f>"于佳佳"</f>
        <v>于佳佳</v>
      </c>
      <c r="D361" s="9">
        <v>14</v>
      </c>
      <c r="E361" s="9">
        <v>12</v>
      </c>
      <c r="F361" s="10" t="s">
        <v>10</v>
      </c>
      <c r="G361" s="11">
        <v>81.04</v>
      </c>
      <c r="H361" s="7"/>
      <c r="I361" s="11">
        <v>81.04</v>
      </c>
    </row>
    <row r="362" s="1" customFormat="1" ht="23" customHeight="1" spans="1:9">
      <c r="A362" s="7" t="str">
        <f>"20080415426"</f>
        <v>20080415426</v>
      </c>
      <c r="B362" s="7" t="str">
        <f>"2008"</f>
        <v>2008</v>
      </c>
      <c r="C362" s="7" t="str">
        <f>"李洋爽"</f>
        <v>李洋爽</v>
      </c>
      <c r="D362" s="9">
        <v>14</v>
      </c>
      <c r="E362" s="9">
        <v>13</v>
      </c>
      <c r="F362" s="10" t="s">
        <v>10</v>
      </c>
      <c r="G362" s="11">
        <v>83.74</v>
      </c>
      <c r="H362" s="7"/>
      <c r="I362" s="11">
        <v>83.74</v>
      </c>
    </row>
    <row r="363" s="1" customFormat="1" ht="23" customHeight="1" spans="1:9">
      <c r="A363" s="7" t="str">
        <f>"20080415418"</f>
        <v>20080415418</v>
      </c>
      <c r="B363" s="7" t="str">
        <f>"2008"</f>
        <v>2008</v>
      </c>
      <c r="C363" s="7" t="str">
        <f>"姚新春"</f>
        <v>姚新春</v>
      </c>
      <c r="D363" s="9">
        <v>14</v>
      </c>
      <c r="E363" s="9">
        <v>14</v>
      </c>
      <c r="F363" s="10" t="s">
        <v>10</v>
      </c>
      <c r="G363" s="11">
        <v>81.4</v>
      </c>
      <c r="H363" s="7"/>
      <c r="I363" s="11">
        <v>81.4</v>
      </c>
    </row>
    <row r="364" s="1" customFormat="1" ht="23" customHeight="1" spans="1:9">
      <c r="A364" s="7" t="str">
        <f>"30080621809"</f>
        <v>30080621809</v>
      </c>
      <c r="B364" s="7" t="str">
        <f>"3008"</f>
        <v>3008</v>
      </c>
      <c r="C364" s="7" t="str">
        <f>"张迅"</f>
        <v>张迅</v>
      </c>
      <c r="D364" s="9">
        <v>14</v>
      </c>
      <c r="E364" s="9">
        <v>15</v>
      </c>
      <c r="F364" s="10" t="s">
        <v>10</v>
      </c>
      <c r="G364" s="11">
        <v>82.1</v>
      </c>
      <c r="H364" s="7"/>
      <c r="I364" s="11">
        <v>82.1</v>
      </c>
    </row>
    <row r="365" s="1" customFormat="1" ht="23" customHeight="1" spans="1:9">
      <c r="A365" s="7" t="str">
        <f>"30080621717"</f>
        <v>30080621717</v>
      </c>
      <c r="B365" s="7" t="str">
        <f>"3008"</f>
        <v>3008</v>
      </c>
      <c r="C365" s="7" t="str">
        <f>"张阳"</f>
        <v>张阳</v>
      </c>
      <c r="D365" s="9">
        <v>14</v>
      </c>
      <c r="E365" s="9">
        <v>16</v>
      </c>
      <c r="F365" s="10" t="s">
        <v>10</v>
      </c>
      <c r="G365" s="11">
        <v>80.54</v>
      </c>
      <c r="H365" s="7"/>
      <c r="I365" s="11">
        <v>80.54</v>
      </c>
    </row>
    <row r="366" s="1" customFormat="1" ht="23" customHeight="1" spans="1:9">
      <c r="A366" s="7" t="str">
        <f>"20080415512"</f>
        <v>20080415512</v>
      </c>
      <c r="B366" s="7" t="str">
        <f>"2008"</f>
        <v>2008</v>
      </c>
      <c r="C366" s="7" t="str">
        <f>"郭兹良"</f>
        <v>郭兹良</v>
      </c>
      <c r="D366" s="9">
        <v>14</v>
      </c>
      <c r="E366" s="9">
        <v>17</v>
      </c>
      <c r="F366" s="10" t="s">
        <v>10</v>
      </c>
      <c r="G366" s="11">
        <v>79.72</v>
      </c>
      <c r="H366" s="7"/>
      <c r="I366" s="11">
        <v>79.72</v>
      </c>
    </row>
    <row r="367" s="1" customFormat="1" ht="23" customHeight="1" spans="1:9">
      <c r="A367" s="7" t="str">
        <f>"30080621626"</f>
        <v>30080621626</v>
      </c>
      <c r="B367" s="7" t="str">
        <f>"3008"</f>
        <v>3008</v>
      </c>
      <c r="C367" s="7" t="str">
        <f>"张雅兰"</f>
        <v>张雅兰</v>
      </c>
      <c r="D367" s="9">
        <v>14</v>
      </c>
      <c r="E367" s="9">
        <v>18</v>
      </c>
      <c r="F367" s="10" t="s">
        <v>10</v>
      </c>
      <c r="G367" s="11">
        <v>83.26</v>
      </c>
      <c r="H367" s="7"/>
      <c r="I367" s="11">
        <v>83.26</v>
      </c>
    </row>
    <row r="368" s="1" customFormat="1" ht="23" customHeight="1" spans="1:9">
      <c r="A368" s="7" t="str">
        <f>"20080415504"</f>
        <v>20080415504</v>
      </c>
      <c r="B368" s="7" t="str">
        <f>"2008"</f>
        <v>2008</v>
      </c>
      <c r="C368" s="7" t="str">
        <f>"彭向阳"</f>
        <v>彭向阳</v>
      </c>
      <c r="D368" s="9">
        <v>14</v>
      </c>
      <c r="E368" s="9">
        <v>19</v>
      </c>
      <c r="F368" s="10" t="s">
        <v>10</v>
      </c>
      <c r="G368" s="11">
        <v>82.88</v>
      </c>
      <c r="H368" s="7"/>
      <c r="I368" s="11">
        <v>82.88</v>
      </c>
    </row>
    <row r="369" s="1" customFormat="1" ht="23" customHeight="1" spans="1:9">
      <c r="A369" s="7" t="str">
        <f>"30080621816"</f>
        <v>30080621816</v>
      </c>
      <c r="B369" s="7" t="str">
        <f>"3008"</f>
        <v>3008</v>
      </c>
      <c r="C369" s="7" t="str">
        <f>"刘迎"</f>
        <v>刘迎</v>
      </c>
      <c r="D369" s="9">
        <v>14</v>
      </c>
      <c r="E369" s="9">
        <v>20</v>
      </c>
      <c r="F369" s="10" t="s">
        <v>10</v>
      </c>
      <c r="G369" s="11">
        <v>82.3</v>
      </c>
      <c r="H369" s="7"/>
      <c r="I369" s="11">
        <v>82.3</v>
      </c>
    </row>
    <row r="370" s="1" customFormat="1" ht="23" customHeight="1" spans="1:9">
      <c r="A370" s="7" t="str">
        <f>"20080415401"</f>
        <v>20080415401</v>
      </c>
      <c r="B370" s="7" t="str">
        <f>"2008"</f>
        <v>2008</v>
      </c>
      <c r="C370" s="7" t="str">
        <f>"李子琦"</f>
        <v>李子琦</v>
      </c>
      <c r="D370" s="9">
        <v>14</v>
      </c>
      <c r="E370" s="9">
        <v>21</v>
      </c>
      <c r="F370" s="10" t="s">
        <v>10</v>
      </c>
      <c r="G370" s="11">
        <v>84.24</v>
      </c>
      <c r="H370" s="7"/>
      <c r="I370" s="11">
        <v>84.24</v>
      </c>
    </row>
    <row r="371" s="1" customFormat="1" ht="23" customHeight="1" spans="1:9">
      <c r="A371" s="7" t="str">
        <f>"30080621627"</f>
        <v>30080621627</v>
      </c>
      <c r="B371" s="7" t="str">
        <f>"3008"</f>
        <v>3008</v>
      </c>
      <c r="C371" s="7" t="str">
        <f>"韩洋"</f>
        <v>韩洋</v>
      </c>
      <c r="D371" s="9">
        <v>14</v>
      </c>
      <c r="E371" s="9">
        <v>22</v>
      </c>
      <c r="F371" s="10" t="s">
        <v>10</v>
      </c>
      <c r="G371" s="11">
        <v>83.22</v>
      </c>
      <c r="H371" s="7"/>
      <c r="I371" s="11">
        <v>83.22</v>
      </c>
    </row>
    <row r="372" s="1" customFormat="1" ht="23" customHeight="1" spans="1:9">
      <c r="A372" s="7" t="str">
        <f>"30080621622"</f>
        <v>30080621622</v>
      </c>
      <c r="B372" s="7" t="str">
        <f>"3008"</f>
        <v>3008</v>
      </c>
      <c r="C372" s="7" t="str">
        <f>"李楚青"</f>
        <v>李楚青</v>
      </c>
      <c r="D372" s="9">
        <v>14</v>
      </c>
      <c r="E372" s="9">
        <v>23</v>
      </c>
      <c r="F372" s="10" t="s">
        <v>10</v>
      </c>
      <c r="G372" s="11">
        <v>83.44</v>
      </c>
      <c r="H372" s="7"/>
      <c r="I372" s="11">
        <v>83.44</v>
      </c>
    </row>
    <row r="373" s="1" customFormat="1" ht="23" customHeight="1" spans="1:9">
      <c r="A373" s="7" t="str">
        <f>"20080415530"</f>
        <v>20080415530</v>
      </c>
      <c r="B373" s="7" t="str">
        <f>"2008"</f>
        <v>2008</v>
      </c>
      <c r="C373" s="7" t="str">
        <f>"李健"</f>
        <v>李健</v>
      </c>
      <c r="D373" s="9">
        <v>14</v>
      </c>
      <c r="E373" s="9">
        <v>24</v>
      </c>
      <c r="F373" s="10" t="s">
        <v>10</v>
      </c>
      <c r="G373" s="11">
        <v>82.68</v>
      </c>
      <c r="H373" s="7"/>
      <c r="I373" s="11">
        <v>82.68</v>
      </c>
    </row>
    <row r="374" s="1" customFormat="1" ht="23" customHeight="1" spans="1:9">
      <c r="A374" s="7" t="str">
        <f>"20080415406"</f>
        <v>20080415406</v>
      </c>
      <c r="B374" s="7" t="str">
        <f>"2008"</f>
        <v>2008</v>
      </c>
      <c r="C374" s="7" t="str">
        <f>"蒋聪"</f>
        <v>蒋聪</v>
      </c>
      <c r="D374" s="9">
        <v>14</v>
      </c>
      <c r="E374" s="9">
        <v>25</v>
      </c>
      <c r="F374" s="10" t="s">
        <v>10</v>
      </c>
      <c r="G374" s="11">
        <v>82.56</v>
      </c>
      <c r="H374" s="7"/>
      <c r="I374" s="11">
        <v>82.56</v>
      </c>
    </row>
    <row r="375" s="1" customFormat="1" ht="23" customHeight="1" spans="1:9">
      <c r="A375" s="7" t="str">
        <f>"30080621720"</f>
        <v>30080621720</v>
      </c>
      <c r="B375" s="7" t="str">
        <f>"3008"</f>
        <v>3008</v>
      </c>
      <c r="C375" s="7" t="str">
        <f>"丰璟"</f>
        <v>丰璟</v>
      </c>
      <c r="D375" s="9">
        <v>14</v>
      </c>
      <c r="E375" s="9">
        <v>26</v>
      </c>
      <c r="F375" s="10" t="s">
        <v>10</v>
      </c>
      <c r="G375" s="11">
        <v>84.04</v>
      </c>
      <c r="H375" s="7"/>
      <c r="I375" s="11">
        <v>84.04</v>
      </c>
    </row>
    <row r="376" s="1" customFormat="1" ht="23" customHeight="1" spans="1:9">
      <c r="A376" s="7" t="str">
        <f>"20080415416"</f>
        <v>20080415416</v>
      </c>
      <c r="B376" s="7" t="str">
        <f>"2008"</f>
        <v>2008</v>
      </c>
      <c r="C376" s="7" t="str">
        <f>"程龙"</f>
        <v>程龙</v>
      </c>
      <c r="D376" s="9">
        <v>14</v>
      </c>
      <c r="E376" s="9">
        <v>27</v>
      </c>
      <c r="F376" s="10" t="s">
        <v>10</v>
      </c>
      <c r="G376" s="11">
        <v>82.44</v>
      </c>
      <c r="H376" s="7"/>
      <c r="I376" s="11">
        <v>82.44</v>
      </c>
    </row>
    <row r="377" s="1" customFormat="1" ht="23" customHeight="1" spans="1:9">
      <c r="A377" s="7" t="str">
        <f>"20080415411"</f>
        <v>20080415411</v>
      </c>
      <c r="B377" s="7" t="str">
        <f>"2008"</f>
        <v>2008</v>
      </c>
      <c r="C377" s="7" t="str">
        <f>"牛晓宁"</f>
        <v>牛晓宁</v>
      </c>
      <c r="D377" s="9">
        <v>14</v>
      </c>
      <c r="E377" s="9">
        <v>28</v>
      </c>
      <c r="F377" s="10" t="s">
        <v>10</v>
      </c>
      <c r="G377" s="11">
        <v>82.24</v>
      </c>
      <c r="H377" s="7"/>
      <c r="I377" s="11">
        <v>82.24</v>
      </c>
    </row>
    <row r="378" s="1" customFormat="1" ht="23" customHeight="1" spans="1:9">
      <c r="A378" s="7" t="str">
        <f>"20080415610"</f>
        <v>20080415610</v>
      </c>
      <c r="B378" s="7" t="str">
        <f>"2008"</f>
        <v>2008</v>
      </c>
      <c r="C378" s="7" t="str">
        <f>"张付青"</f>
        <v>张付青</v>
      </c>
      <c r="D378" s="9">
        <v>14</v>
      </c>
      <c r="E378" s="9">
        <v>29</v>
      </c>
      <c r="F378" s="10" t="s">
        <v>10</v>
      </c>
      <c r="G378" s="11">
        <v>82.02</v>
      </c>
      <c r="H378" s="7"/>
      <c r="I378" s="11">
        <v>82.02</v>
      </c>
    </row>
    <row r="379" s="1" customFormat="1" ht="23" customHeight="1" spans="1:9">
      <c r="A379" s="7" t="str">
        <f>"20080415617"</f>
        <v>20080415617</v>
      </c>
      <c r="B379" s="7" t="str">
        <f>"2008"</f>
        <v>2008</v>
      </c>
      <c r="C379" s="7" t="str">
        <f>"杨洁"</f>
        <v>杨洁</v>
      </c>
      <c r="D379" s="9">
        <v>14</v>
      </c>
      <c r="E379" s="10" t="s">
        <v>11</v>
      </c>
      <c r="F379" s="10" t="s">
        <v>10</v>
      </c>
      <c r="G379" s="12" t="s">
        <v>11</v>
      </c>
      <c r="H379" s="7"/>
      <c r="I379" s="12" t="s">
        <v>11</v>
      </c>
    </row>
    <row r="380" s="1" customFormat="1" ht="23" customHeight="1" spans="1:9">
      <c r="A380" s="7" t="str">
        <f>"30080621614"</f>
        <v>30080621614</v>
      </c>
      <c r="B380" s="7" t="str">
        <f>"3008"</f>
        <v>3008</v>
      </c>
      <c r="C380" s="7" t="str">
        <f>"郭亚琳"</f>
        <v>郭亚琳</v>
      </c>
      <c r="D380" s="9">
        <v>14</v>
      </c>
      <c r="E380" s="10" t="s">
        <v>11</v>
      </c>
      <c r="F380" s="10" t="s">
        <v>10</v>
      </c>
      <c r="G380" s="12" t="s">
        <v>11</v>
      </c>
      <c r="H380" s="7"/>
      <c r="I380" s="12" t="s">
        <v>11</v>
      </c>
    </row>
    <row r="381" s="1" customFormat="1" ht="23" customHeight="1" spans="1:9">
      <c r="A381" s="7" t="str">
        <f>"30080621617"</f>
        <v>30080621617</v>
      </c>
      <c r="B381" s="7" t="str">
        <f>"3008"</f>
        <v>3008</v>
      </c>
      <c r="C381" s="7" t="str">
        <f>"吴宁"</f>
        <v>吴宁</v>
      </c>
      <c r="D381" s="9">
        <v>14</v>
      </c>
      <c r="E381" s="10" t="s">
        <v>11</v>
      </c>
      <c r="F381" s="10" t="s">
        <v>10</v>
      </c>
      <c r="G381" s="12" t="s">
        <v>11</v>
      </c>
      <c r="H381" s="7"/>
      <c r="I381" s="12" t="s">
        <v>11</v>
      </c>
    </row>
    <row r="382" s="1" customFormat="1" ht="23" customHeight="1" spans="1:9">
      <c r="A382" s="7" t="str">
        <f>"20090415701"</f>
        <v>20090415701</v>
      </c>
      <c r="B382" s="7" t="str">
        <f>"2009"</f>
        <v>2009</v>
      </c>
      <c r="C382" s="7" t="str">
        <f>"王通晓"</f>
        <v>王通晓</v>
      </c>
      <c r="D382" s="9">
        <v>15</v>
      </c>
      <c r="E382" s="9">
        <v>1</v>
      </c>
      <c r="F382" s="10" t="s">
        <v>10</v>
      </c>
      <c r="G382" s="11">
        <v>77.96</v>
      </c>
      <c r="H382" s="7"/>
      <c r="I382" s="11">
        <v>77.96</v>
      </c>
    </row>
    <row r="383" s="1" customFormat="1" ht="23" customHeight="1" spans="1:9">
      <c r="A383" s="7" t="str">
        <f>"30090621903"</f>
        <v>30090621903</v>
      </c>
      <c r="B383" s="7" t="str">
        <f>"3009"</f>
        <v>3009</v>
      </c>
      <c r="C383" s="7" t="str">
        <f>"闫飞飞"</f>
        <v>闫飞飞</v>
      </c>
      <c r="D383" s="9">
        <v>15</v>
      </c>
      <c r="E383" s="9">
        <v>2</v>
      </c>
      <c r="F383" s="10" t="s">
        <v>10</v>
      </c>
      <c r="G383" s="11">
        <v>80.32</v>
      </c>
      <c r="H383" s="7"/>
      <c r="I383" s="11">
        <v>80.32</v>
      </c>
    </row>
    <row r="384" s="1" customFormat="1" ht="23" customHeight="1" spans="1:9">
      <c r="A384" s="7" t="str">
        <f>"30090621824"</f>
        <v>30090621824</v>
      </c>
      <c r="B384" s="7" t="str">
        <f>"3009"</f>
        <v>3009</v>
      </c>
      <c r="C384" s="7" t="str">
        <f>"杨小垒"</f>
        <v>杨小垒</v>
      </c>
      <c r="D384" s="9">
        <v>15</v>
      </c>
      <c r="E384" s="9">
        <v>3</v>
      </c>
      <c r="F384" s="10" t="s">
        <v>10</v>
      </c>
      <c r="G384" s="11">
        <v>83.42</v>
      </c>
      <c r="H384" s="7"/>
      <c r="I384" s="11">
        <v>83.42</v>
      </c>
    </row>
    <row r="385" s="1" customFormat="1" ht="23" customHeight="1" spans="1:9">
      <c r="A385" s="7" t="str">
        <f>"20090415817"</f>
        <v>20090415817</v>
      </c>
      <c r="B385" s="7" t="str">
        <f>"2009"</f>
        <v>2009</v>
      </c>
      <c r="C385" s="7" t="str">
        <f>"赵雨欣"</f>
        <v>赵雨欣</v>
      </c>
      <c r="D385" s="9">
        <v>15</v>
      </c>
      <c r="E385" s="9">
        <v>4</v>
      </c>
      <c r="F385" s="10" t="s">
        <v>10</v>
      </c>
      <c r="G385" s="11">
        <v>77.04</v>
      </c>
      <c r="H385" s="7"/>
      <c r="I385" s="11">
        <v>77.04</v>
      </c>
    </row>
    <row r="386" s="1" customFormat="1" ht="23" customHeight="1" spans="1:9">
      <c r="A386" s="7" t="str">
        <f>"30090621924"</f>
        <v>30090621924</v>
      </c>
      <c r="B386" s="7" t="str">
        <f>"3009"</f>
        <v>3009</v>
      </c>
      <c r="C386" s="7" t="str">
        <f>"宋冰鑫"</f>
        <v>宋冰鑫</v>
      </c>
      <c r="D386" s="9">
        <v>15</v>
      </c>
      <c r="E386" s="9">
        <v>5</v>
      </c>
      <c r="F386" s="10" t="s">
        <v>10</v>
      </c>
      <c r="G386" s="11">
        <v>82.6</v>
      </c>
      <c r="H386" s="7"/>
      <c r="I386" s="11">
        <v>82.6</v>
      </c>
    </row>
    <row r="387" s="1" customFormat="1" ht="23" customHeight="1" spans="1:9">
      <c r="A387" s="7" t="str">
        <f>"30090621930"</f>
        <v>30090621930</v>
      </c>
      <c r="B387" s="7" t="str">
        <f>"3009"</f>
        <v>3009</v>
      </c>
      <c r="C387" s="7" t="str">
        <f>"杜燕飞"</f>
        <v>杜燕飞</v>
      </c>
      <c r="D387" s="9">
        <v>15</v>
      </c>
      <c r="E387" s="9">
        <v>6</v>
      </c>
      <c r="F387" s="10" t="s">
        <v>10</v>
      </c>
      <c r="G387" s="11">
        <v>80.86</v>
      </c>
      <c r="H387" s="7"/>
      <c r="I387" s="11">
        <v>80.86</v>
      </c>
    </row>
    <row r="388" s="1" customFormat="1" ht="23" customHeight="1" spans="1:9">
      <c r="A388" s="7" t="str">
        <f>"20090415715"</f>
        <v>20090415715</v>
      </c>
      <c r="B388" s="7" t="str">
        <f>"2009"</f>
        <v>2009</v>
      </c>
      <c r="C388" s="7" t="str">
        <f>"贾珊珊"</f>
        <v>贾珊珊</v>
      </c>
      <c r="D388" s="9">
        <v>15</v>
      </c>
      <c r="E388" s="9">
        <v>7</v>
      </c>
      <c r="F388" s="10" t="s">
        <v>10</v>
      </c>
      <c r="G388" s="11">
        <v>82.44</v>
      </c>
      <c r="H388" s="7"/>
      <c r="I388" s="11">
        <v>82.44</v>
      </c>
    </row>
    <row r="389" s="1" customFormat="1" ht="23" customHeight="1" spans="1:9">
      <c r="A389" s="7" t="str">
        <f>"30090621907"</f>
        <v>30090621907</v>
      </c>
      <c r="B389" s="7" t="str">
        <f>"3009"</f>
        <v>3009</v>
      </c>
      <c r="C389" s="7" t="str">
        <f>"吴倩"</f>
        <v>吴倩</v>
      </c>
      <c r="D389" s="9">
        <v>15</v>
      </c>
      <c r="E389" s="9">
        <v>8</v>
      </c>
      <c r="F389" s="10" t="s">
        <v>10</v>
      </c>
      <c r="G389" s="11">
        <v>80.72</v>
      </c>
      <c r="H389" s="7"/>
      <c r="I389" s="11">
        <v>80.72</v>
      </c>
    </row>
    <row r="390" s="1" customFormat="1" ht="23" customHeight="1" spans="1:9">
      <c r="A390" s="7" t="str">
        <f>"20090415806"</f>
        <v>20090415806</v>
      </c>
      <c r="B390" s="7" t="str">
        <f>"2009"</f>
        <v>2009</v>
      </c>
      <c r="C390" s="7" t="str">
        <f>"杨兵"</f>
        <v>杨兵</v>
      </c>
      <c r="D390" s="9">
        <v>15</v>
      </c>
      <c r="E390" s="9">
        <v>9</v>
      </c>
      <c r="F390" s="10" t="s">
        <v>10</v>
      </c>
      <c r="G390" s="11">
        <v>82.32</v>
      </c>
      <c r="H390" s="7"/>
      <c r="I390" s="11">
        <v>82.32</v>
      </c>
    </row>
    <row r="391" s="1" customFormat="1" ht="23" customHeight="1" spans="1:9">
      <c r="A391" s="7" t="str">
        <f>"20090415707"</f>
        <v>20090415707</v>
      </c>
      <c r="B391" s="7" t="str">
        <f>"2009"</f>
        <v>2009</v>
      </c>
      <c r="C391" s="7" t="str">
        <f>"王子玮"</f>
        <v>王子玮</v>
      </c>
      <c r="D391" s="9">
        <v>15</v>
      </c>
      <c r="E391" s="9">
        <v>10</v>
      </c>
      <c r="F391" s="10" t="s">
        <v>10</v>
      </c>
      <c r="G391" s="11">
        <v>81.88</v>
      </c>
      <c r="H391" s="7"/>
      <c r="I391" s="11">
        <v>81.88</v>
      </c>
    </row>
    <row r="392" s="1" customFormat="1" ht="23" customHeight="1" spans="1:9">
      <c r="A392" s="7" t="str">
        <f>"20090415716"</f>
        <v>20090415716</v>
      </c>
      <c r="B392" s="7" t="str">
        <f>"2009"</f>
        <v>2009</v>
      </c>
      <c r="C392" s="7" t="str">
        <f>"贺锦江"</f>
        <v>贺锦江</v>
      </c>
      <c r="D392" s="9">
        <v>15</v>
      </c>
      <c r="E392" s="9">
        <v>11</v>
      </c>
      <c r="F392" s="10" t="s">
        <v>10</v>
      </c>
      <c r="G392" s="11">
        <v>80.52</v>
      </c>
      <c r="H392" s="7"/>
      <c r="I392" s="11">
        <v>80.52</v>
      </c>
    </row>
    <row r="393" s="1" customFormat="1" ht="23" customHeight="1" spans="1:9">
      <c r="A393" s="7" t="str">
        <f>"30090621904"</f>
        <v>30090621904</v>
      </c>
      <c r="B393" s="7" t="str">
        <f>"3009"</f>
        <v>3009</v>
      </c>
      <c r="C393" s="7" t="str">
        <f>"肖青梦"</f>
        <v>肖青梦</v>
      </c>
      <c r="D393" s="9">
        <v>15</v>
      </c>
      <c r="E393" s="9">
        <v>12</v>
      </c>
      <c r="F393" s="10" t="s">
        <v>10</v>
      </c>
      <c r="G393" s="11">
        <v>81.56</v>
      </c>
      <c r="H393" s="7"/>
      <c r="I393" s="11">
        <v>81.56</v>
      </c>
    </row>
    <row r="394" s="1" customFormat="1" ht="23" customHeight="1" spans="1:9">
      <c r="A394" s="7" t="str">
        <f>"20090415723"</f>
        <v>20090415723</v>
      </c>
      <c r="B394" s="7" t="str">
        <f>"2009"</f>
        <v>2009</v>
      </c>
      <c r="C394" s="7" t="str">
        <f>"褚云燕"</f>
        <v>褚云燕</v>
      </c>
      <c r="D394" s="9">
        <v>15</v>
      </c>
      <c r="E394" s="9">
        <v>13</v>
      </c>
      <c r="F394" s="10" t="s">
        <v>10</v>
      </c>
      <c r="G394" s="11">
        <v>82.5</v>
      </c>
      <c r="H394" s="7"/>
      <c r="I394" s="11">
        <v>82.5</v>
      </c>
    </row>
    <row r="395" s="1" customFormat="1" ht="23" customHeight="1" spans="1:9">
      <c r="A395" s="7" t="str">
        <f>"20090415813"</f>
        <v>20090415813</v>
      </c>
      <c r="B395" s="7" t="str">
        <f>"2009"</f>
        <v>2009</v>
      </c>
      <c r="C395" s="7" t="str">
        <f>"乾奕扬"</f>
        <v>乾奕扬</v>
      </c>
      <c r="D395" s="9">
        <v>15</v>
      </c>
      <c r="E395" s="9">
        <v>14</v>
      </c>
      <c r="F395" s="10" t="s">
        <v>10</v>
      </c>
      <c r="G395" s="11">
        <v>80.82</v>
      </c>
      <c r="H395" s="7"/>
      <c r="I395" s="11">
        <v>80.82</v>
      </c>
    </row>
    <row r="396" s="1" customFormat="1" ht="23" customHeight="1" spans="1:9">
      <c r="A396" s="7" t="str">
        <f>"30090621820"</f>
        <v>30090621820</v>
      </c>
      <c r="B396" s="7" t="str">
        <f>"3009"</f>
        <v>3009</v>
      </c>
      <c r="C396" s="7" t="str">
        <f>"肖一帆"</f>
        <v>肖一帆</v>
      </c>
      <c r="D396" s="9">
        <v>15</v>
      </c>
      <c r="E396" s="9">
        <v>15</v>
      </c>
      <c r="F396" s="10" t="s">
        <v>10</v>
      </c>
      <c r="G396" s="11">
        <v>82</v>
      </c>
      <c r="H396" s="7"/>
      <c r="I396" s="11">
        <v>82</v>
      </c>
    </row>
    <row r="397" s="1" customFormat="1" ht="23" customHeight="1" spans="1:9">
      <c r="A397" s="7" t="str">
        <f>"30090621927"</f>
        <v>30090621927</v>
      </c>
      <c r="B397" s="7" t="str">
        <f>"3009"</f>
        <v>3009</v>
      </c>
      <c r="C397" s="7" t="str">
        <f>"王林楠"</f>
        <v>王林楠</v>
      </c>
      <c r="D397" s="9">
        <v>15</v>
      </c>
      <c r="E397" s="9">
        <v>16</v>
      </c>
      <c r="F397" s="10" t="s">
        <v>10</v>
      </c>
      <c r="G397" s="11">
        <v>82.26</v>
      </c>
      <c r="H397" s="7"/>
      <c r="I397" s="11">
        <v>82.26</v>
      </c>
    </row>
    <row r="398" s="1" customFormat="1" ht="23" customHeight="1" spans="1:9">
      <c r="A398" s="7" t="str">
        <f>"30090621829"</f>
        <v>30090621829</v>
      </c>
      <c r="B398" s="7" t="str">
        <f>"3009"</f>
        <v>3009</v>
      </c>
      <c r="C398" s="7" t="str">
        <f>"卢春雨"</f>
        <v>卢春雨</v>
      </c>
      <c r="D398" s="9">
        <v>15</v>
      </c>
      <c r="E398" s="9">
        <v>17</v>
      </c>
      <c r="F398" s="10" t="s">
        <v>10</v>
      </c>
      <c r="G398" s="11">
        <v>80.56</v>
      </c>
      <c r="H398" s="7"/>
      <c r="I398" s="11">
        <v>80.56</v>
      </c>
    </row>
    <row r="399" s="1" customFormat="1" ht="23" customHeight="1" spans="1:9">
      <c r="A399" s="7" t="str">
        <f>"20090415808"</f>
        <v>20090415808</v>
      </c>
      <c r="B399" s="7" t="str">
        <f>"2009"</f>
        <v>2009</v>
      </c>
      <c r="C399" s="7" t="str">
        <f>"燕明蕊"</f>
        <v>燕明蕊</v>
      </c>
      <c r="D399" s="9">
        <v>15</v>
      </c>
      <c r="E399" s="9">
        <v>18</v>
      </c>
      <c r="F399" s="10" t="s">
        <v>10</v>
      </c>
      <c r="G399" s="11">
        <v>81.56</v>
      </c>
      <c r="H399" s="7"/>
      <c r="I399" s="11">
        <v>81.56</v>
      </c>
    </row>
    <row r="400" s="1" customFormat="1" ht="23" customHeight="1" spans="1:9">
      <c r="A400" s="7" t="str">
        <f>"20090415727"</f>
        <v>20090415727</v>
      </c>
      <c r="B400" s="7" t="str">
        <f>"2009"</f>
        <v>2009</v>
      </c>
      <c r="C400" s="7" t="str">
        <f>"程文凤"</f>
        <v>程文凤</v>
      </c>
      <c r="D400" s="9">
        <v>15</v>
      </c>
      <c r="E400" s="9">
        <v>19</v>
      </c>
      <c r="F400" s="10" t="s">
        <v>10</v>
      </c>
      <c r="G400" s="11">
        <v>81.68</v>
      </c>
      <c r="H400" s="7"/>
      <c r="I400" s="11">
        <v>81.68</v>
      </c>
    </row>
    <row r="401" s="1" customFormat="1" ht="23" customHeight="1" spans="1:9">
      <c r="A401" s="7" t="str">
        <f>"20090415718"</f>
        <v>20090415718</v>
      </c>
      <c r="B401" s="7" t="str">
        <f>"2009"</f>
        <v>2009</v>
      </c>
      <c r="C401" s="7" t="str">
        <f>"张黎明"</f>
        <v>张黎明</v>
      </c>
      <c r="D401" s="9">
        <v>15</v>
      </c>
      <c r="E401" s="9">
        <v>20</v>
      </c>
      <c r="F401" s="10" t="s">
        <v>10</v>
      </c>
      <c r="G401" s="11">
        <v>83.38</v>
      </c>
      <c r="H401" s="7"/>
      <c r="I401" s="11">
        <v>83.38</v>
      </c>
    </row>
    <row r="402" s="1" customFormat="1" ht="23" customHeight="1" spans="1:9">
      <c r="A402" s="7" t="str">
        <f>"20090415730"</f>
        <v>20090415730</v>
      </c>
      <c r="B402" s="7" t="str">
        <f>"2009"</f>
        <v>2009</v>
      </c>
      <c r="C402" s="7" t="str">
        <f>"李昭杰"</f>
        <v>李昭杰</v>
      </c>
      <c r="D402" s="9">
        <v>15</v>
      </c>
      <c r="E402" s="9">
        <v>21</v>
      </c>
      <c r="F402" s="10" t="s">
        <v>10</v>
      </c>
      <c r="G402" s="11">
        <v>82.14</v>
      </c>
      <c r="H402" s="7"/>
      <c r="I402" s="11">
        <v>82.14</v>
      </c>
    </row>
    <row r="403" s="1" customFormat="1" ht="23" customHeight="1" spans="1:9">
      <c r="A403" s="7" t="str">
        <f>"30090621925"</f>
        <v>30090621925</v>
      </c>
      <c r="B403" s="7" t="str">
        <f>"3009"</f>
        <v>3009</v>
      </c>
      <c r="C403" s="7" t="str">
        <f>"马海华"</f>
        <v>马海华</v>
      </c>
      <c r="D403" s="9">
        <v>15</v>
      </c>
      <c r="E403" s="9">
        <v>22</v>
      </c>
      <c r="F403" s="10" t="s">
        <v>10</v>
      </c>
      <c r="G403" s="11">
        <v>81.26</v>
      </c>
      <c r="H403" s="7"/>
      <c r="I403" s="11">
        <v>81.26</v>
      </c>
    </row>
    <row r="404" s="1" customFormat="1" ht="23" customHeight="1" spans="1:9">
      <c r="A404" s="7" t="str">
        <f>"20090415805"</f>
        <v>20090415805</v>
      </c>
      <c r="B404" s="7" t="str">
        <f>"2009"</f>
        <v>2009</v>
      </c>
      <c r="C404" s="7" t="str">
        <f>"李从嘉"</f>
        <v>李从嘉</v>
      </c>
      <c r="D404" s="9">
        <v>15</v>
      </c>
      <c r="E404" s="9">
        <v>23</v>
      </c>
      <c r="F404" s="10" t="s">
        <v>10</v>
      </c>
      <c r="G404" s="11">
        <v>81.24</v>
      </c>
      <c r="H404" s="7"/>
      <c r="I404" s="11">
        <v>81.24</v>
      </c>
    </row>
    <row r="405" s="1" customFormat="1" ht="23" customHeight="1" spans="1:9">
      <c r="A405" s="7" t="str">
        <f>"20090415625"</f>
        <v>20090415625</v>
      </c>
      <c r="B405" s="7" t="str">
        <f>"2009"</f>
        <v>2009</v>
      </c>
      <c r="C405" s="7" t="str">
        <f>"耿东旭"</f>
        <v>耿东旭</v>
      </c>
      <c r="D405" s="9">
        <v>15</v>
      </c>
      <c r="E405" s="10" t="s">
        <v>11</v>
      </c>
      <c r="F405" s="10" t="s">
        <v>10</v>
      </c>
      <c r="G405" s="12" t="s">
        <v>11</v>
      </c>
      <c r="H405" s="7"/>
      <c r="I405" s="12" t="s">
        <v>11</v>
      </c>
    </row>
    <row r="406" s="1" customFormat="1" ht="23" customHeight="1" spans="1:9">
      <c r="A406" s="7" t="str">
        <f>"20090415801"</f>
        <v>20090415801</v>
      </c>
      <c r="B406" s="7" t="str">
        <f>"2009"</f>
        <v>2009</v>
      </c>
      <c r="C406" s="7" t="str">
        <f>"蒋萌丹"</f>
        <v>蒋萌丹</v>
      </c>
      <c r="D406" s="9">
        <v>15</v>
      </c>
      <c r="E406" s="10" t="s">
        <v>11</v>
      </c>
      <c r="F406" s="10" t="s">
        <v>10</v>
      </c>
      <c r="G406" s="12" t="s">
        <v>11</v>
      </c>
      <c r="H406" s="7"/>
      <c r="I406" s="12" t="s">
        <v>11</v>
      </c>
    </row>
    <row r="407" s="1" customFormat="1" ht="23" customHeight="1" spans="1:9">
      <c r="A407" s="7" t="str">
        <f>"20090415802"</f>
        <v>20090415802</v>
      </c>
      <c r="B407" s="7" t="str">
        <f>"2009"</f>
        <v>2009</v>
      </c>
      <c r="C407" s="7" t="str">
        <f>"刘怡静"</f>
        <v>刘怡静</v>
      </c>
      <c r="D407" s="9">
        <v>15</v>
      </c>
      <c r="E407" s="10" t="s">
        <v>11</v>
      </c>
      <c r="F407" s="10" t="s">
        <v>10</v>
      </c>
      <c r="G407" s="12" t="s">
        <v>11</v>
      </c>
      <c r="H407" s="7"/>
      <c r="I407" s="12" t="s">
        <v>11</v>
      </c>
    </row>
    <row r="408" s="1" customFormat="1" ht="23" customHeight="1" spans="1:9">
      <c r="A408" s="7" t="str">
        <f>"20090415812"</f>
        <v>20090415812</v>
      </c>
      <c r="B408" s="7" t="str">
        <f>"2009"</f>
        <v>2009</v>
      </c>
      <c r="C408" s="7" t="str">
        <f>"孙鹏"</f>
        <v>孙鹏</v>
      </c>
      <c r="D408" s="9">
        <v>15</v>
      </c>
      <c r="E408" s="10" t="s">
        <v>11</v>
      </c>
      <c r="F408" s="10" t="s">
        <v>10</v>
      </c>
      <c r="G408" s="12" t="s">
        <v>11</v>
      </c>
      <c r="H408" s="7"/>
      <c r="I408" s="12" t="s">
        <v>11</v>
      </c>
    </row>
    <row r="409" s="1" customFormat="1" ht="23" customHeight="1" spans="1:9">
      <c r="A409" s="7" t="str">
        <f>"30090621821"</f>
        <v>30090621821</v>
      </c>
      <c r="B409" s="7" t="str">
        <f>"3009"</f>
        <v>3009</v>
      </c>
      <c r="C409" s="7" t="str">
        <f>"王炎"</f>
        <v>王炎</v>
      </c>
      <c r="D409" s="9">
        <v>15</v>
      </c>
      <c r="E409" s="10" t="s">
        <v>11</v>
      </c>
      <c r="F409" s="10" t="s">
        <v>10</v>
      </c>
      <c r="G409" s="12" t="s">
        <v>11</v>
      </c>
      <c r="H409" s="7"/>
      <c r="I409" s="12" t="s">
        <v>11</v>
      </c>
    </row>
    <row r="410" s="1" customFormat="1" ht="23" customHeight="1" spans="1:9">
      <c r="A410" s="7" t="str">
        <f>"30090621822"</f>
        <v>30090621822</v>
      </c>
      <c r="B410" s="7" t="str">
        <f>"3009"</f>
        <v>3009</v>
      </c>
      <c r="C410" s="7" t="str">
        <f>"陈亚琦"</f>
        <v>陈亚琦</v>
      </c>
      <c r="D410" s="9">
        <v>15</v>
      </c>
      <c r="E410" s="10" t="s">
        <v>11</v>
      </c>
      <c r="F410" s="10" t="s">
        <v>10</v>
      </c>
      <c r="G410" s="12" t="s">
        <v>11</v>
      </c>
      <c r="H410" s="7"/>
      <c r="I410" s="12" t="s">
        <v>11</v>
      </c>
    </row>
    <row r="411" s="1" customFormat="1" ht="23" customHeight="1" spans="1:9">
      <c r="A411" s="7" t="str">
        <f>"30090621825"</f>
        <v>30090621825</v>
      </c>
      <c r="B411" s="7" t="str">
        <f>"3009"</f>
        <v>3009</v>
      </c>
      <c r="C411" s="7" t="str">
        <f>"孙会丽"</f>
        <v>孙会丽</v>
      </c>
      <c r="D411" s="9">
        <v>15</v>
      </c>
      <c r="E411" s="10" t="s">
        <v>11</v>
      </c>
      <c r="F411" s="10" t="s">
        <v>10</v>
      </c>
      <c r="G411" s="12" t="s">
        <v>11</v>
      </c>
      <c r="H411" s="7"/>
      <c r="I411" s="12" t="s">
        <v>11</v>
      </c>
    </row>
    <row r="412" s="1" customFormat="1" ht="23" customHeight="1" spans="1:9">
      <c r="A412" s="7" t="str">
        <f>"30100622022"</f>
        <v>30100622022</v>
      </c>
      <c r="B412" s="7" t="str">
        <f>"3010"</f>
        <v>3010</v>
      </c>
      <c r="C412" s="7" t="str">
        <f>"梁富权"</f>
        <v>梁富权</v>
      </c>
      <c r="D412" s="9">
        <v>16</v>
      </c>
      <c r="E412" s="9">
        <v>1</v>
      </c>
      <c r="F412" s="10" t="s">
        <v>10</v>
      </c>
      <c r="G412" s="11">
        <v>81.1</v>
      </c>
      <c r="H412" s="7"/>
      <c r="I412" s="11">
        <v>81.1</v>
      </c>
    </row>
    <row r="413" s="1" customFormat="1" ht="23" customHeight="1" spans="1:9">
      <c r="A413" s="7" t="str">
        <f>"30100622024"</f>
        <v>30100622024</v>
      </c>
      <c r="B413" s="7" t="str">
        <f>"3010"</f>
        <v>3010</v>
      </c>
      <c r="C413" s="7" t="str">
        <f>"何世康"</f>
        <v>何世康</v>
      </c>
      <c r="D413" s="9">
        <v>16</v>
      </c>
      <c r="E413" s="9">
        <v>2</v>
      </c>
      <c r="F413" s="10" t="s">
        <v>10</v>
      </c>
      <c r="G413" s="11">
        <v>82.16</v>
      </c>
      <c r="H413" s="7"/>
      <c r="I413" s="11">
        <v>82.16</v>
      </c>
    </row>
    <row r="414" s="1" customFormat="1" ht="23" customHeight="1" spans="1:9">
      <c r="A414" s="7" t="str">
        <f>"30100622113"</f>
        <v>30100622113</v>
      </c>
      <c r="B414" s="7" t="str">
        <f>"3010"</f>
        <v>3010</v>
      </c>
      <c r="C414" s="7" t="str">
        <f>"管仓"</f>
        <v>管仓</v>
      </c>
      <c r="D414" s="9">
        <v>16</v>
      </c>
      <c r="E414" s="9">
        <v>3</v>
      </c>
      <c r="F414" s="10" t="s">
        <v>10</v>
      </c>
      <c r="G414" s="11">
        <v>82.72</v>
      </c>
      <c r="H414" s="7"/>
      <c r="I414" s="11">
        <v>82.72</v>
      </c>
    </row>
    <row r="415" s="1" customFormat="1" ht="23" customHeight="1" spans="1:9">
      <c r="A415" s="7" t="str">
        <f>"20100415905"</f>
        <v>20100415905</v>
      </c>
      <c r="B415" s="7" t="str">
        <f>"2010"</f>
        <v>2010</v>
      </c>
      <c r="C415" s="7" t="str">
        <f>"刘淼"</f>
        <v>刘淼</v>
      </c>
      <c r="D415" s="9">
        <v>16</v>
      </c>
      <c r="E415" s="9">
        <v>4</v>
      </c>
      <c r="F415" s="10" t="s">
        <v>10</v>
      </c>
      <c r="G415" s="11">
        <v>83.86</v>
      </c>
      <c r="H415" s="7"/>
      <c r="I415" s="11">
        <v>83.86</v>
      </c>
    </row>
    <row r="416" s="1" customFormat="1" ht="23" customHeight="1" spans="1:9">
      <c r="A416" s="7" t="str">
        <f>"30100622204"</f>
        <v>30100622204</v>
      </c>
      <c r="B416" s="7" t="str">
        <f>"3010"</f>
        <v>3010</v>
      </c>
      <c r="C416" s="7" t="str">
        <f>"周苗苗"</f>
        <v>周苗苗</v>
      </c>
      <c r="D416" s="9">
        <v>16</v>
      </c>
      <c r="E416" s="9">
        <v>5</v>
      </c>
      <c r="F416" s="10" t="s">
        <v>10</v>
      </c>
      <c r="G416" s="11">
        <v>82.98</v>
      </c>
      <c r="H416" s="7"/>
      <c r="I416" s="11">
        <v>82.98</v>
      </c>
    </row>
    <row r="417" s="1" customFormat="1" ht="23" customHeight="1" spans="1:9">
      <c r="A417" s="7" t="str">
        <f>"30100622129"</f>
        <v>30100622129</v>
      </c>
      <c r="B417" s="7" t="str">
        <f>"3010"</f>
        <v>3010</v>
      </c>
      <c r="C417" s="7" t="str">
        <f>"娄金锋"</f>
        <v>娄金锋</v>
      </c>
      <c r="D417" s="9">
        <v>16</v>
      </c>
      <c r="E417" s="9">
        <v>6</v>
      </c>
      <c r="F417" s="10" t="s">
        <v>10</v>
      </c>
      <c r="G417" s="11">
        <v>81.86</v>
      </c>
      <c r="H417" s="7"/>
      <c r="I417" s="11">
        <v>81.86</v>
      </c>
    </row>
    <row r="418" s="1" customFormat="1" ht="23" customHeight="1" spans="1:9">
      <c r="A418" s="7" t="str">
        <f>"20100416021"</f>
        <v>20100416021</v>
      </c>
      <c r="B418" s="7" t="str">
        <f>"2010"</f>
        <v>2010</v>
      </c>
      <c r="C418" s="7" t="str">
        <f>"余阳"</f>
        <v>余阳</v>
      </c>
      <c r="D418" s="9">
        <v>16</v>
      </c>
      <c r="E418" s="9">
        <v>7</v>
      </c>
      <c r="F418" s="10" t="s">
        <v>10</v>
      </c>
      <c r="G418" s="11">
        <v>82.22</v>
      </c>
      <c r="H418" s="7"/>
      <c r="I418" s="11">
        <v>82.22</v>
      </c>
    </row>
    <row r="419" s="1" customFormat="1" ht="23" customHeight="1" spans="1:9">
      <c r="A419" s="7" t="str">
        <f>"20100416123"</f>
        <v>20100416123</v>
      </c>
      <c r="B419" s="7" t="str">
        <f>"2010"</f>
        <v>2010</v>
      </c>
      <c r="C419" s="7" t="str">
        <f>"张汝金"</f>
        <v>张汝金</v>
      </c>
      <c r="D419" s="9">
        <v>16</v>
      </c>
      <c r="E419" s="9">
        <v>8</v>
      </c>
      <c r="F419" s="10" t="s">
        <v>10</v>
      </c>
      <c r="G419" s="11">
        <v>82.54</v>
      </c>
      <c r="H419" s="7"/>
      <c r="I419" s="11">
        <v>82.54</v>
      </c>
    </row>
    <row r="420" s="1" customFormat="1" ht="23" customHeight="1" spans="1:9">
      <c r="A420" s="7" t="str">
        <f>"30100622207"</f>
        <v>30100622207</v>
      </c>
      <c r="B420" s="7" t="str">
        <f>"3010"</f>
        <v>3010</v>
      </c>
      <c r="C420" s="7" t="str">
        <f>"王献章"</f>
        <v>王献章</v>
      </c>
      <c r="D420" s="9">
        <v>16</v>
      </c>
      <c r="E420" s="9">
        <v>9</v>
      </c>
      <c r="F420" s="10" t="s">
        <v>10</v>
      </c>
      <c r="G420" s="11">
        <v>82.34</v>
      </c>
      <c r="H420" s="7"/>
      <c r="I420" s="11">
        <v>82.34</v>
      </c>
    </row>
    <row r="421" s="1" customFormat="1" ht="23" customHeight="1" spans="1:9">
      <c r="A421" s="7" t="str">
        <f>"20100416122"</f>
        <v>20100416122</v>
      </c>
      <c r="B421" s="7" t="str">
        <f>"2010"</f>
        <v>2010</v>
      </c>
      <c r="C421" s="7" t="str">
        <f>"王栋"</f>
        <v>王栋</v>
      </c>
      <c r="D421" s="9">
        <v>16</v>
      </c>
      <c r="E421" s="9">
        <v>10</v>
      </c>
      <c r="F421" s="10" t="s">
        <v>10</v>
      </c>
      <c r="G421" s="11">
        <v>82.72</v>
      </c>
      <c r="H421" s="7"/>
      <c r="I421" s="11">
        <v>82.72</v>
      </c>
    </row>
    <row r="422" s="1" customFormat="1" ht="23" customHeight="1" spans="1:9">
      <c r="A422" s="7" t="str">
        <f>"20100416113"</f>
        <v>20100416113</v>
      </c>
      <c r="B422" s="7" t="str">
        <f>"2010"</f>
        <v>2010</v>
      </c>
      <c r="C422" s="7" t="str">
        <f>"姬超杰"</f>
        <v>姬超杰</v>
      </c>
      <c r="D422" s="9">
        <v>16</v>
      </c>
      <c r="E422" s="9">
        <v>11</v>
      </c>
      <c r="F422" s="10" t="s">
        <v>10</v>
      </c>
      <c r="G422" s="11">
        <v>82.8</v>
      </c>
      <c r="H422" s="7"/>
      <c r="I422" s="11">
        <v>82.8</v>
      </c>
    </row>
    <row r="423" s="1" customFormat="1" ht="23" customHeight="1" spans="1:9">
      <c r="A423" s="7" t="str">
        <f>"30100622004"</f>
        <v>30100622004</v>
      </c>
      <c r="B423" s="7" t="str">
        <f>"3010"</f>
        <v>3010</v>
      </c>
      <c r="C423" s="7" t="str">
        <f>"张怡"</f>
        <v>张怡</v>
      </c>
      <c r="D423" s="9">
        <v>16</v>
      </c>
      <c r="E423" s="9">
        <v>12</v>
      </c>
      <c r="F423" s="10" t="s">
        <v>10</v>
      </c>
      <c r="G423" s="11">
        <v>82.76</v>
      </c>
      <c r="H423" s="7"/>
      <c r="I423" s="11">
        <v>82.76</v>
      </c>
    </row>
    <row r="424" s="1" customFormat="1" ht="23" customHeight="1" spans="1:9">
      <c r="A424" s="7" t="str">
        <f>"30100622105"</f>
        <v>30100622105</v>
      </c>
      <c r="B424" s="7" t="str">
        <f>"3010"</f>
        <v>3010</v>
      </c>
      <c r="C424" s="7" t="str">
        <f>"陈佳俊"</f>
        <v>陈佳俊</v>
      </c>
      <c r="D424" s="9">
        <v>16</v>
      </c>
      <c r="E424" s="9">
        <v>13</v>
      </c>
      <c r="F424" s="10" t="s">
        <v>10</v>
      </c>
      <c r="G424" s="11">
        <v>82.02</v>
      </c>
      <c r="H424" s="7"/>
      <c r="I424" s="11">
        <v>82.02</v>
      </c>
    </row>
    <row r="425" s="1" customFormat="1" ht="23" customHeight="1" spans="1:9">
      <c r="A425" s="7" t="str">
        <f>"20100416014"</f>
        <v>20100416014</v>
      </c>
      <c r="B425" s="7" t="str">
        <f>"2010"</f>
        <v>2010</v>
      </c>
      <c r="C425" s="7" t="str">
        <f>"毕长青"</f>
        <v>毕长青</v>
      </c>
      <c r="D425" s="9">
        <v>16</v>
      </c>
      <c r="E425" s="9">
        <v>14</v>
      </c>
      <c r="F425" s="10" t="s">
        <v>10</v>
      </c>
      <c r="G425" s="11">
        <v>82.54</v>
      </c>
      <c r="H425" s="7"/>
      <c r="I425" s="11">
        <v>82.54</v>
      </c>
    </row>
    <row r="426" s="1" customFormat="1" ht="23" customHeight="1" spans="1:9">
      <c r="A426" s="7" t="str">
        <f>"20100416118"</f>
        <v>20100416118</v>
      </c>
      <c r="B426" s="7" t="str">
        <f>"2010"</f>
        <v>2010</v>
      </c>
      <c r="C426" s="7" t="str">
        <f>"张贺"</f>
        <v>张贺</v>
      </c>
      <c r="D426" s="9">
        <v>16</v>
      </c>
      <c r="E426" s="9">
        <v>15</v>
      </c>
      <c r="F426" s="10" t="s">
        <v>10</v>
      </c>
      <c r="G426" s="11">
        <v>82.74</v>
      </c>
      <c r="H426" s="7"/>
      <c r="I426" s="11">
        <v>82.74</v>
      </c>
    </row>
    <row r="427" s="1" customFormat="1" ht="23" customHeight="1" spans="1:9">
      <c r="A427" s="7" t="str">
        <f>"30100622016"</f>
        <v>30100622016</v>
      </c>
      <c r="B427" s="7" t="str">
        <f>"3010"</f>
        <v>3010</v>
      </c>
      <c r="C427" s="7" t="str">
        <f>"杜良"</f>
        <v>杜良</v>
      </c>
      <c r="D427" s="9">
        <v>16</v>
      </c>
      <c r="E427" s="9">
        <v>16</v>
      </c>
      <c r="F427" s="10" t="s">
        <v>10</v>
      </c>
      <c r="G427" s="11">
        <v>83.3</v>
      </c>
      <c r="H427" s="7"/>
      <c r="I427" s="11">
        <v>83.3</v>
      </c>
    </row>
    <row r="428" s="1" customFormat="1" ht="23" customHeight="1" spans="1:9">
      <c r="A428" s="7" t="str">
        <f>"30100622205"</f>
        <v>30100622205</v>
      </c>
      <c r="B428" s="7" t="str">
        <f>"3010"</f>
        <v>3010</v>
      </c>
      <c r="C428" s="7" t="str">
        <f>"张洁"</f>
        <v>张洁</v>
      </c>
      <c r="D428" s="9">
        <v>16</v>
      </c>
      <c r="E428" s="9">
        <v>17</v>
      </c>
      <c r="F428" s="10" t="s">
        <v>10</v>
      </c>
      <c r="G428" s="11">
        <v>82.22</v>
      </c>
      <c r="H428" s="7"/>
      <c r="I428" s="11">
        <v>82.22</v>
      </c>
    </row>
    <row r="429" s="1" customFormat="1" ht="23" customHeight="1" spans="1:9">
      <c r="A429" s="7" t="str">
        <f>"30100622015"</f>
        <v>30100622015</v>
      </c>
      <c r="B429" s="7" t="str">
        <f>"3010"</f>
        <v>3010</v>
      </c>
      <c r="C429" s="7" t="str">
        <f>"郭一俭"</f>
        <v>郭一俭</v>
      </c>
      <c r="D429" s="9">
        <v>16</v>
      </c>
      <c r="E429" s="9">
        <v>18</v>
      </c>
      <c r="F429" s="10" t="s">
        <v>10</v>
      </c>
      <c r="G429" s="11">
        <v>83.3</v>
      </c>
      <c r="H429" s="7"/>
      <c r="I429" s="11">
        <v>83.3</v>
      </c>
    </row>
    <row r="430" s="1" customFormat="1" ht="23" customHeight="1" spans="1:9">
      <c r="A430" s="7" t="str">
        <f>"20100415920"</f>
        <v>20100415920</v>
      </c>
      <c r="B430" s="7" t="str">
        <f>"2010"</f>
        <v>2010</v>
      </c>
      <c r="C430" s="7" t="str">
        <f>"狄士楠"</f>
        <v>狄士楠</v>
      </c>
      <c r="D430" s="9">
        <v>16</v>
      </c>
      <c r="E430" s="9">
        <v>19</v>
      </c>
      <c r="F430" s="10" t="s">
        <v>10</v>
      </c>
      <c r="G430" s="11">
        <v>82.24</v>
      </c>
      <c r="H430" s="7"/>
      <c r="I430" s="11">
        <v>82.24</v>
      </c>
    </row>
    <row r="431" s="1" customFormat="1" ht="23" customHeight="1" spans="1:9">
      <c r="A431" s="7" t="str">
        <f>"20100416124"</f>
        <v>20100416124</v>
      </c>
      <c r="B431" s="7" t="str">
        <f>"2010"</f>
        <v>2010</v>
      </c>
      <c r="C431" s="7" t="str">
        <f>"石俊"</f>
        <v>石俊</v>
      </c>
      <c r="D431" s="9">
        <v>16</v>
      </c>
      <c r="E431" s="9">
        <v>20</v>
      </c>
      <c r="F431" s="10" t="s">
        <v>10</v>
      </c>
      <c r="G431" s="11">
        <v>81.68</v>
      </c>
      <c r="H431" s="7"/>
      <c r="I431" s="11">
        <v>81.68</v>
      </c>
    </row>
    <row r="432" s="1" customFormat="1" ht="23" customHeight="1" spans="1:9">
      <c r="A432" s="7" t="str">
        <f>"20100415922"</f>
        <v>20100415922</v>
      </c>
      <c r="B432" s="7" t="str">
        <f>"2010"</f>
        <v>2010</v>
      </c>
      <c r="C432" s="7" t="str">
        <f>"丁帅飞"</f>
        <v>丁帅飞</v>
      </c>
      <c r="D432" s="9">
        <v>16</v>
      </c>
      <c r="E432" s="9">
        <v>21</v>
      </c>
      <c r="F432" s="10" t="s">
        <v>10</v>
      </c>
      <c r="G432" s="11">
        <v>81.62</v>
      </c>
      <c r="H432" s="7"/>
      <c r="I432" s="11">
        <v>81.62</v>
      </c>
    </row>
    <row r="433" s="1" customFormat="1" ht="23" customHeight="1" spans="1:9">
      <c r="A433" s="7" t="str">
        <f>"30100622130"</f>
        <v>30100622130</v>
      </c>
      <c r="B433" s="7" t="str">
        <f>"3010"</f>
        <v>3010</v>
      </c>
      <c r="C433" s="7" t="str">
        <f>"谢东林"</f>
        <v>谢东林</v>
      </c>
      <c r="D433" s="9">
        <v>16</v>
      </c>
      <c r="E433" s="9">
        <v>22</v>
      </c>
      <c r="F433" s="10" t="s">
        <v>10</v>
      </c>
      <c r="G433" s="11">
        <v>81.84</v>
      </c>
      <c r="H433" s="7"/>
      <c r="I433" s="11">
        <v>81.84</v>
      </c>
    </row>
    <row r="434" s="1" customFormat="1" ht="23" customHeight="1" spans="1:9">
      <c r="A434" s="7" t="str">
        <f>"30100622027"</f>
        <v>30100622027</v>
      </c>
      <c r="B434" s="7" t="str">
        <f>"3010"</f>
        <v>3010</v>
      </c>
      <c r="C434" s="7" t="str">
        <f>"王素涵"</f>
        <v>王素涵</v>
      </c>
      <c r="D434" s="9">
        <v>16</v>
      </c>
      <c r="E434" s="9">
        <v>23</v>
      </c>
      <c r="F434" s="10" t="s">
        <v>10</v>
      </c>
      <c r="G434" s="11">
        <v>83.36</v>
      </c>
      <c r="H434" s="7"/>
      <c r="I434" s="11">
        <v>83.36</v>
      </c>
    </row>
    <row r="435" s="1" customFormat="1" ht="23" customHeight="1" spans="1:9">
      <c r="A435" s="7" t="str">
        <f>"20100416111"</f>
        <v>20100416111</v>
      </c>
      <c r="B435" s="7" t="str">
        <f>"2010"</f>
        <v>2010</v>
      </c>
      <c r="C435" s="7" t="str">
        <f>"崔欢欢"</f>
        <v>崔欢欢</v>
      </c>
      <c r="D435" s="9">
        <v>16</v>
      </c>
      <c r="E435" s="9">
        <v>24</v>
      </c>
      <c r="F435" s="10" t="s">
        <v>10</v>
      </c>
      <c r="G435" s="11">
        <v>82.88</v>
      </c>
      <c r="H435" s="7"/>
      <c r="I435" s="11">
        <v>82.88</v>
      </c>
    </row>
    <row r="436" s="1" customFormat="1" ht="23" customHeight="1" spans="1:9">
      <c r="A436" s="7" t="str">
        <f>"30100622103"</f>
        <v>30100622103</v>
      </c>
      <c r="B436" s="7" t="str">
        <f>"3010"</f>
        <v>3010</v>
      </c>
      <c r="C436" s="7" t="str">
        <f>"马旭川"</f>
        <v>马旭川</v>
      </c>
      <c r="D436" s="9">
        <v>16</v>
      </c>
      <c r="E436" s="9">
        <v>25</v>
      </c>
      <c r="F436" s="10" t="s">
        <v>10</v>
      </c>
      <c r="G436" s="11">
        <v>82.3</v>
      </c>
      <c r="H436" s="7"/>
      <c r="I436" s="11">
        <v>82.3</v>
      </c>
    </row>
    <row r="437" s="1" customFormat="1" ht="23" customHeight="1" spans="1:9">
      <c r="A437" s="7" t="str">
        <f>"30100622026"</f>
        <v>30100622026</v>
      </c>
      <c r="B437" s="7" t="str">
        <f>"3010"</f>
        <v>3010</v>
      </c>
      <c r="C437" s="7" t="str">
        <f>"李帅"</f>
        <v>李帅</v>
      </c>
      <c r="D437" s="9">
        <v>16</v>
      </c>
      <c r="E437" s="9">
        <v>26</v>
      </c>
      <c r="F437" s="10" t="s">
        <v>10</v>
      </c>
      <c r="G437" s="11">
        <v>83.34</v>
      </c>
      <c r="H437" s="7"/>
      <c r="I437" s="11">
        <v>83.34</v>
      </c>
    </row>
    <row r="438" s="1" customFormat="1" ht="23" customHeight="1" spans="1:9">
      <c r="A438" s="7" t="str">
        <f>"20100416029"</f>
        <v>20100416029</v>
      </c>
      <c r="B438" s="7" t="str">
        <f>"2010"</f>
        <v>2010</v>
      </c>
      <c r="C438" s="7" t="str">
        <f>"张婧怡"</f>
        <v>张婧怡</v>
      </c>
      <c r="D438" s="9">
        <v>16</v>
      </c>
      <c r="E438" s="9">
        <v>27</v>
      </c>
      <c r="F438" s="10" t="s">
        <v>10</v>
      </c>
      <c r="G438" s="11">
        <v>82.76</v>
      </c>
      <c r="H438" s="7"/>
      <c r="I438" s="11">
        <v>82.76</v>
      </c>
    </row>
    <row r="439" s="1" customFormat="1" ht="23" customHeight="1" spans="1:9">
      <c r="A439" s="7" t="str">
        <f>"20100415825"</f>
        <v>20100415825</v>
      </c>
      <c r="B439" s="7" t="str">
        <f>"2010"</f>
        <v>2010</v>
      </c>
      <c r="C439" s="7" t="str">
        <f>"高孟启"</f>
        <v>高孟启</v>
      </c>
      <c r="D439" s="9">
        <v>16</v>
      </c>
      <c r="E439" s="9">
        <v>28</v>
      </c>
      <c r="F439" s="10" t="s">
        <v>10</v>
      </c>
      <c r="G439" s="11">
        <v>82.56</v>
      </c>
      <c r="H439" s="7"/>
      <c r="I439" s="11">
        <v>82.56</v>
      </c>
    </row>
    <row r="440" s="1" customFormat="1" ht="23" customHeight="1" spans="1:9">
      <c r="A440" s="7" t="str">
        <f>"20100415906"</f>
        <v>20100415906</v>
      </c>
      <c r="B440" s="7" t="str">
        <f>"2010"</f>
        <v>2010</v>
      </c>
      <c r="C440" s="7" t="str">
        <f>"闫新茹"</f>
        <v>闫新茹</v>
      </c>
      <c r="D440" s="9">
        <v>16</v>
      </c>
      <c r="E440" s="9">
        <v>29</v>
      </c>
      <c r="F440" s="10" t="s">
        <v>10</v>
      </c>
      <c r="G440" s="11">
        <v>82.44</v>
      </c>
      <c r="H440" s="7"/>
      <c r="I440" s="11">
        <v>82.44</v>
      </c>
    </row>
    <row r="441" s="1" customFormat="1" ht="23" customHeight="1" spans="1:9">
      <c r="A441" s="7" t="str">
        <f>"20100416016"</f>
        <v>20100416016</v>
      </c>
      <c r="B441" s="7" t="str">
        <f>"2010"</f>
        <v>2010</v>
      </c>
      <c r="C441" s="7" t="str">
        <f>"吴汛"</f>
        <v>吴汛</v>
      </c>
      <c r="D441" s="9">
        <v>16</v>
      </c>
      <c r="E441" s="10" t="s">
        <v>11</v>
      </c>
      <c r="F441" s="10" t="s">
        <v>10</v>
      </c>
      <c r="G441" s="12" t="s">
        <v>11</v>
      </c>
      <c r="H441" s="7"/>
      <c r="I441" s="12" t="s">
        <v>11</v>
      </c>
    </row>
    <row r="442" s="1" customFormat="1" ht="23" customHeight="1" spans="1:9">
      <c r="A442" s="7" t="str">
        <f>"30100622110"</f>
        <v>30100622110</v>
      </c>
      <c r="B442" s="7" t="str">
        <f>"3010"</f>
        <v>3010</v>
      </c>
      <c r="C442" s="7" t="str">
        <f>"赵薇"</f>
        <v>赵薇</v>
      </c>
      <c r="D442" s="9">
        <v>16</v>
      </c>
      <c r="E442" s="10" t="s">
        <v>11</v>
      </c>
      <c r="F442" s="10" t="s">
        <v>10</v>
      </c>
      <c r="G442" s="12" t="s">
        <v>11</v>
      </c>
      <c r="H442" s="7"/>
      <c r="I442" s="12" t="s">
        <v>11</v>
      </c>
    </row>
    <row r="443" s="1" customFormat="1" ht="23" customHeight="1" spans="1:9">
      <c r="A443" s="7" t="str">
        <f>"30110622416"</f>
        <v>30110622416</v>
      </c>
      <c r="B443" s="7" t="str">
        <f>"3011"</f>
        <v>3011</v>
      </c>
      <c r="C443" s="7" t="str">
        <f>"程卉瑾"</f>
        <v>程卉瑾</v>
      </c>
      <c r="D443" s="9">
        <v>17</v>
      </c>
      <c r="E443" s="9">
        <v>1</v>
      </c>
      <c r="F443" s="10" t="s">
        <v>10</v>
      </c>
      <c r="G443" s="11">
        <v>79.28</v>
      </c>
      <c r="H443" s="7"/>
      <c r="I443" s="11">
        <v>79.28</v>
      </c>
    </row>
    <row r="444" s="1" customFormat="1" ht="23" customHeight="1" spans="1:9">
      <c r="A444" s="7" t="str">
        <f>"20110516326"</f>
        <v>20110516326</v>
      </c>
      <c r="B444" s="7" t="str">
        <f>"2011"</f>
        <v>2011</v>
      </c>
      <c r="C444" s="7" t="str">
        <f>"陈焱慧"</f>
        <v>陈焱慧</v>
      </c>
      <c r="D444" s="9">
        <v>17</v>
      </c>
      <c r="E444" s="9">
        <v>2</v>
      </c>
      <c r="F444" s="10" t="s">
        <v>10</v>
      </c>
      <c r="G444" s="11">
        <v>82</v>
      </c>
      <c r="H444" s="7"/>
      <c r="I444" s="11">
        <v>82</v>
      </c>
    </row>
    <row r="445" s="1" customFormat="1" ht="23" customHeight="1" spans="1:9">
      <c r="A445" s="7" t="str">
        <f>"30110622223"</f>
        <v>30110622223</v>
      </c>
      <c r="B445" s="7" t="str">
        <f>"3011"</f>
        <v>3011</v>
      </c>
      <c r="C445" s="7" t="str">
        <f>"邹新月"</f>
        <v>邹新月</v>
      </c>
      <c r="D445" s="9">
        <v>17</v>
      </c>
      <c r="E445" s="9">
        <v>3</v>
      </c>
      <c r="F445" s="10" t="s">
        <v>10</v>
      </c>
      <c r="G445" s="11">
        <v>81.58</v>
      </c>
      <c r="H445" s="7"/>
      <c r="I445" s="11">
        <v>81.58</v>
      </c>
    </row>
    <row r="446" s="1" customFormat="1" ht="23" customHeight="1" spans="1:9">
      <c r="A446" s="7" t="str">
        <f>"20110516315"</f>
        <v>20110516315</v>
      </c>
      <c r="B446" s="7" t="str">
        <f>"2011"</f>
        <v>2011</v>
      </c>
      <c r="C446" s="7" t="str">
        <f>"王佳佳"</f>
        <v>王佳佳</v>
      </c>
      <c r="D446" s="9">
        <v>17</v>
      </c>
      <c r="E446" s="9">
        <v>4</v>
      </c>
      <c r="F446" s="10" t="s">
        <v>10</v>
      </c>
      <c r="G446" s="11">
        <v>83.4</v>
      </c>
      <c r="H446" s="7"/>
      <c r="I446" s="11">
        <v>83.4</v>
      </c>
    </row>
    <row r="447" s="1" customFormat="1" ht="23" customHeight="1" spans="1:9">
      <c r="A447" s="7" t="str">
        <f>"30110622323"</f>
        <v>30110622323</v>
      </c>
      <c r="B447" s="7" t="str">
        <f>"3011"</f>
        <v>3011</v>
      </c>
      <c r="C447" s="7" t="str">
        <f>"包建璞"</f>
        <v>包建璞</v>
      </c>
      <c r="D447" s="9">
        <v>17</v>
      </c>
      <c r="E447" s="9">
        <v>5</v>
      </c>
      <c r="F447" s="10" t="s">
        <v>10</v>
      </c>
      <c r="G447" s="11">
        <v>83.04</v>
      </c>
      <c r="H447" s="7"/>
      <c r="I447" s="11">
        <v>83.04</v>
      </c>
    </row>
    <row r="448" s="1" customFormat="1" ht="23" customHeight="1" spans="1:9">
      <c r="A448" s="7" t="str">
        <f>"30110622325"</f>
        <v>30110622325</v>
      </c>
      <c r="B448" s="7" t="str">
        <f>"3011"</f>
        <v>3011</v>
      </c>
      <c r="C448" s="7" t="str">
        <f>"张雅丽"</f>
        <v>张雅丽</v>
      </c>
      <c r="D448" s="9">
        <v>17</v>
      </c>
      <c r="E448" s="9">
        <v>6</v>
      </c>
      <c r="F448" s="10" t="s">
        <v>10</v>
      </c>
      <c r="G448" s="11">
        <v>82.28</v>
      </c>
      <c r="H448" s="7"/>
      <c r="I448" s="11">
        <v>82.28</v>
      </c>
    </row>
    <row r="449" s="1" customFormat="1" ht="23" customHeight="1" spans="1:9">
      <c r="A449" s="7" t="str">
        <f>"30110622421"</f>
        <v>30110622421</v>
      </c>
      <c r="B449" s="7" t="str">
        <f>"3011"</f>
        <v>3011</v>
      </c>
      <c r="C449" s="7" t="str">
        <f>"张明清"</f>
        <v>张明清</v>
      </c>
      <c r="D449" s="9">
        <v>17</v>
      </c>
      <c r="E449" s="9">
        <v>7</v>
      </c>
      <c r="F449" s="10" t="s">
        <v>10</v>
      </c>
      <c r="G449" s="11">
        <v>81.26</v>
      </c>
      <c r="H449" s="7"/>
      <c r="I449" s="11">
        <v>81.26</v>
      </c>
    </row>
    <row r="450" s="1" customFormat="1" ht="23" customHeight="1" spans="1:9">
      <c r="A450" s="7" t="str">
        <f>"20110516310"</f>
        <v>20110516310</v>
      </c>
      <c r="B450" s="7" t="str">
        <f>"2011"</f>
        <v>2011</v>
      </c>
      <c r="C450" s="7" t="str">
        <f>"胥丹丹"</f>
        <v>胥丹丹</v>
      </c>
      <c r="D450" s="9">
        <v>17</v>
      </c>
      <c r="E450" s="9">
        <v>8</v>
      </c>
      <c r="F450" s="10" t="s">
        <v>10</v>
      </c>
      <c r="G450" s="11">
        <v>81.78</v>
      </c>
      <c r="H450" s="7"/>
      <c r="I450" s="11">
        <v>81.78</v>
      </c>
    </row>
    <row r="451" s="1" customFormat="1" ht="23" customHeight="1" spans="1:9">
      <c r="A451" s="7" t="str">
        <f>"30110622405"</f>
        <v>30110622405</v>
      </c>
      <c r="B451" s="7" t="str">
        <f>"3011"</f>
        <v>3011</v>
      </c>
      <c r="C451" s="7" t="str">
        <f>"吕梦"</f>
        <v>吕梦</v>
      </c>
      <c r="D451" s="9">
        <v>17</v>
      </c>
      <c r="E451" s="9">
        <v>9</v>
      </c>
      <c r="F451" s="10" t="s">
        <v>10</v>
      </c>
      <c r="G451" s="11">
        <v>81.82</v>
      </c>
      <c r="H451" s="7"/>
      <c r="I451" s="11">
        <v>81.82</v>
      </c>
    </row>
    <row r="452" s="1" customFormat="1" ht="23" customHeight="1" spans="1:9">
      <c r="A452" s="7" t="str">
        <f>"30110622501"</f>
        <v>30110622501</v>
      </c>
      <c r="B452" s="7" t="str">
        <f>"3011"</f>
        <v>3011</v>
      </c>
      <c r="C452" s="7" t="str">
        <f>"张影丽"</f>
        <v>张影丽</v>
      </c>
      <c r="D452" s="9">
        <v>17</v>
      </c>
      <c r="E452" s="9">
        <v>10</v>
      </c>
      <c r="F452" s="10" t="s">
        <v>10</v>
      </c>
      <c r="G452" s="11">
        <v>81.3</v>
      </c>
      <c r="H452" s="7"/>
      <c r="I452" s="11">
        <v>81.3</v>
      </c>
    </row>
    <row r="453" s="1" customFormat="1" ht="23" customHeight="1" spans="1:9">
      <c r="A453" s="7" t="str">
        <f>"30110622429"</f>
        <v>30110622429</v>
      </c>
      <c r="B453" s="7" t="str">
        <f>"3011"</f>
        <v>3011</v>
      </c>
      <c r="C453" s="7" t="str">
        <f>"李泽炜"</f>
        <v>李泽炜</v>
      </c>
      <c r="D453" s="9">
        <v>17</v>
      </c>
      <c r="E453" s="9">
        <v>11</v>
      </c>
      <c r="F453" s="10" t="s">
        <v>10</v>
      </c>
      <c r="G453" s="11">
        <v>81.24</v>
      </c>
      <c r="H453" s="7"/>
      <c r="I453" s="11">
        <v>81.24</v>
      </c>
    </row>
    <row r="454" s="1" customFormat="1" ht="23" customHeight="1" spans="1:9">
      <c r="A454" s="7" t="str">
        <f>"20110516212"</f>
        <v>20110516212</v>
      </c>
      <c r="B454" s="7" t="str">
        <f>"2011"</f>
        <v>2011</v>
      </c>
      <c r="C454" s="7" t="str">
        <f>"张梦梦"</f>
        <v>张梦梦</v>
      </c>
      <c r="D454" s="9">
        <v>17</v>
      </c>
      <c r="E454" s="9">
        <v>12</v>
      </c>
      <c r="F454" s="10" t="s">
        <v>10</v>
      </c>
      <c r="G454" s="11">
        <v>81.52</v>
      </c>
      <c r="H454" s="7"/>
      <c r="I454" s="11">
        <v>81.52</v>
      </c>
    </row>
    <row r="455" s="1" customFormat="1" ht="23" customHeight="1" spans="1:9">
      <c r="A455" s="7" t="str">
        <f>"50050932607"</f>
        <v>50050932607</v>
      </c>
      <c r="B455" s="7" t="str">
        <f>"5005"</f>
        <v>5005</v>
      </c>
      <c r="C455" s="7" t="str">
        <f>"董怡克"</f>
        <v>董怡克</v>
      </c>
      <c r="D455" s="9">
        <v>17</v>
      </c>
      <c r="E455" s="9">
        <v>15</v>
      </c>
      <c r="F455" s="10" t="s">
        <v>10</v>
      </c>
      <c r="G455" s="11">
        <v>79.86</v>
      </c>
      <c r="H455" s="7"/>
      <c r="I455" s="11">
        <v>79.86</v>
      </c>
    </row>
    <row r="456" s="1" customFormat="1" ht="23" customHeight="1" spans="1:9">
      <c r="A456" s="7" t="str">
        <f>"50050932814"</f>
        <v>50050932814</v>
      </c>
      <c r="B456" s="7" t="str">
        <f>"5005"</f>
        <v>5005</v>
      </c>
      <c r="C456" s="7" t="str">
        <f>"仝雪莹"</f>
        <v>仝雪莹</v>
      </c>
      <c r="D456" s="9">
        <v>17</v>
      </c>
      <c r="E456" s="9">
        <v>16</v>
      </c>
      <c r="F456" s="10" t="s">
        <v>10</v>
      </c>
      <c r="G456" s="11">
        <v>81.9</v>
      </c>
      <c r="H456" s="7"/>
      <c r="I456" s="11">
        <v>81.9</v>
      </c>
    </row>
    <row r="457" s="1" customFormat="1" ht="23" customHeight="1" spans="1:9">
      <c r="A457" s="7" t="str">
        <f>"60050934512"</f>
        <v>60050934512</v>
      </c>
      <c r="B457" s="7" t="str">
        <f>"6005"</f>
        <v>6005</v>
      </c>
      <c r="C457" s="7" t="str">
        <f>"周爽"</f>
        <v>周爽</v>
      </c>
      <c r="D457" s="9">
        <v>17</v>
      </c>
      <c r="E457" s="9">
        <v>17</v>
      </c>
      <c r="F457" s="10" t="s">
        <v>10</v>
      </c>
      <c r="G457" s="11">
        <v>83.32</v>
      </c>
      <c r="H457" s="7"/>
      <c r="I457" s="11">
        <v>83.32</v>
      </c>
    </row>
    <row r="458" s="1" customFormat="1" ht="23" customHeight="1" spans="1:9">
      <c r="A458" s="7" t="str">
        <f>"60050934507"</f>
        <v>60050934507</v>
      </c>
      <c r="B458" s="7" t="str">
        <f>"6005"</f>
        <v>6005</v>
      </c>
      <c r="C458" s="7" t="str">
        <f>"王蕊"</f>
        <v>王蕊</v>
      </c>
      <c r="D458" s="9">
        <v>17</v>
      </c>
      <c r="E458" s="9">
        <v>18</v>
      </c>
      <c r="F458" s="10" t="s">
        <v>10</v>
      </c>
      <c r="G458" s="11">
        <v>79.34</v>
      </c>
      <c r="H458" s="7"/>
      <c r="I458" s="11">
        <v>79.34</v>
      </c>
    </row>
    <row r="459" s="1" customFormat="1" ht="23" customHeight="1" spans="1:9">
      <c r="A459" s="7" t="str">
        <f>"50050932811"</f>
        <v>50050932811</v>
      </c>
      <c r="B459" s="7" t="str">
        <f>"5005"</f>
        <v>5005</v>
      </c>
      <c r="C459" s="7" t="str">
        <f>"郭嘉源"</f>
        <v>郭嘉源</v>
      </c>
      <c r="D459" s="9">
        <v>17</v>
      </c>
      <c r="E459" s="9">
        <v>19</v>
      </c>
      <c r="F459" s="10" t="s">
        <v>10</v>
      </c>
      <c r="G459" s="11">
        <v>80.86</v>
      </c>
      <c r="H459" s="7"/>
      <c r="I459" s="11">
        <v>80.86</v>
      </c>
    </row>
    <row r="460" s="1" customFormat="1" ht="23" customHeight="1" spans="1:9">
      <c r="A460" s="7" t="str">
        <f>"60050934509"</f>
        <v>60050934509</v>
      </c>
      <c r="B460" s="7" t="str">
        <f>"6005"</f>
        <v>6005</v>
      </c>
      <c r="C460" s="7" t="str">
        <f>"贾云"</f>
        <v>贾云</v>
      </c>
      <c r="D460" s="9">
        <v>17</v>
      </c>
      <c r="E460" s="9">
        <v>20</v>
      </c>
      <c r="F460" s="10" t="s">
        <v>10</v>
      </c>
      <c r="G460" s="11">
        <v>81.74</v>
      </c>
      <c r="H460" s="7"/>
      <c r="I460" s="11">
        <v>81.74</v>
      </c>
    </row>
    <row r="461" s="1" customFormat="1" ht="23" customHeight="1" spans="1:9">
      <c r="A461" s="7" t="str">
        <f>"50050932518"</f>
        <v>50050932518</v>
      </c>
      <c r="B461" s="7" t="str">
        <f>"5005"</f>
        <v>5005</v>
      </c>
      <c r="C461" s="7" t="str">
        <f>"冯琳"</f>
        <v>冯琳</v>
      </c>
      <c r="D461" s="9">
        <v>17</v>
      </c>
      <c r="E461" s="9">
        <v>21</v>
      </c>
      <c r="F461" s="10" t="s">
        <v>10</v>
      </c>
      <c r="G461" s="11">
        <v>80.18</v>
      </c>
      <c r="H461" s="7"/>
      <c r="I461" s="11">
        <v>80.18</v>
      </c>
    </row>
    <row r="462" s="1" customFormat="1" ht="23" customHeight="1" spans="1:9">
      <c r="A462" s="7" t="str">
        <f>"60050934502"</f>
        <v>60050934502</v>
      </c>
      <c r="B462" s="7" t="str">
        <f>"6005"</f>
        <v>6005</v>
      </c>
      <c r="C462" s="7" t="str">
        <f>"马迅"</f>
        <v>马迅</v>
      </c>
      <c r="D462" s="9">
        <v>17</v>
      </c>
      <c r="E462" s="9">
        <v>22</v>
      </c>
      <c r="F462" s="10" t="s">
        <v>10</v>
      </c>
      <c r="G462" s="11">
        <v>80.48</v>
      </c>
      <c r="H462" s="7"/>
      <c r="I462" s="11">
        <v>80.48</v>
      </c>
    </row>
    <row r="463" s="1" customFormat="1" ht="23" customHeight="1" spans="1:9">
      <c r="A463" s="7" t="str">
        <f>"50050932709"</f>
        <v>50050932709</v>
      </c>
      <c r="B463" s="7" t="str">
        <f>"5005"</f>
        <v>5005</v>
      </c>
      <c r="C463" s="7" t="str">
        <f>"何祖扬"</f>
        <v>何祖扬</v>
      </c>
      <c r="D463" s="9">
        <v>17</v>
      </c>
      <c r="E463" s="9">
        <v>23</v>
      </c>
      <c r="F463" s="10" t="s">
        <v>10</v>
      </c>
      <c r="G463" s="11">
        <v>78.9</v>
      </c>
      <c r="H463" s="7"/>
      <c r="I463" s="11">
        <v>78.9</v>
      </c>
    </row>
    <row r="464" s="1" customFormat="1" ht="23" customHeight="1" spans="1:9">
      <c r="A464" s="7" t="str">
        <f>"60050934508"</f>
        <v>60050934508</v>
      </c>
      <c r="B464" s="7" t="str">
        <f>"6005"</f>
        <v>6005</v>
      </c>
      <c r="C464" s="7" t="str">
        <f>"董海岩"</f>
        <v>董海岩</v>
      </c>
      <c r="D464" s="9">
        <v>17</v>
      </c>
      <c r="E464" s="9">
        <v>24</v>
      </c>
      <c r="F464" s="10" t="s">
        <v>10</v>
      </c>
      <c r="G464" s="11">
        <v>81.1</v>
      </c>
      <c r="H464" s="7"/>
      <c r="I464" s="11">
        <v>81.1</v>
      </c>
    </row>
    <row r="465" s="1" customFormat="1" ht="23" customHeight="1" spans="1:9">
      <c r="A465" s="7" t="str">
        <f>"50050932528"</f>
        <v>50050932528</v>
      </c>
      <c r="B465" s="7" t="str">
        <f>"5005"</f>
        <v>5005</v>
      </c>
      <c r="C465" s="7" t="str">
        <f>"张祥颖"</f>
        <v>张祥颖</v>
      </c>
      <c r="D465" s="9">
        <v>17</v>
      </c>
      <c r="E465" s="9">
        <v>25</v>
      </c>
      <c r="F465" s="10" t="s">
        <v>10</v>
      </c>
      <c r="G465" s="11">
        <v>83.48</v>
      </c>
      <c r="H465" s="7"/>
      <c r="I465" s="11">
        <v>83.48</v>
      </c>
    </row>
    <row r="466" s="1" customFormat="1" ht="23" customHeight="1" spans="1:9">
      <c r="A466" s="7" t="str">
        <f>"50050932617"</f>
        <v>50050932617</v>
      </c>
      <c r="B466" s="7" t="str">
        <f>"5005"</f>
        <v>5005</v>
      </c>
      <c r="C466" s="7" t="str">
        <f>"闫奕冰"</f>
        <v>闫奕冰</v>
      </c>
      <c r="D466" s="9">
        <v>17</v>
      </c>
      <c r="E466" s="9">
        <v>26</v>
      </c>
      <c r="F466" s="10" t="s">
        <v>10</v>
      </c>
      <c r="G466" s="11">
        <v>80.82</v>
      </c>
      <c r="H466" s="7"/>
      <c r="I466" s="11">
        <v>80.82</v>
      </c>
    </row>
    <row r="467" s="1" customFormat="1" ht="23" customHeight="1" spans="1:9">
      <c r="A467" s="7" t="str">
        <f>"50050932714"</f>
        <v>50050932714</v>
      </c>
      <c r="B467" s="7" t="str">
        <f>"5005"</f>
        <v>5005</v>
      </c>
      <c r="C467" s="7" t="str">
        <f>"金姿含"</f>
        <v>金姿含</v>
      </c>
      <c r="D467" s="9">
        <v>17</v>
      </c>
      <c r="E467" s="9">
        <v>27</v>
      </c>
      <c r="F467" s="10" t="s">
        <v>10</v>
      </c>
      <c r="G467" s="11">
        <v>82.44</v>
      </c>
      <c r="H467" s="7"/>
      <c r="I467" s="11">
        <v>82.44</v>
      </c>
    </row>
    <row r="468" s="1" customFormat="1" ht="23" customHeight="1" spans="1:9">
      <c r="A468" s="7" t="str">
        <f>"60050934501"</f>
        <v>60050934501</v>
      </c>
      <c r="B468" s="7" t="str">
        <f>"6005"</f>
        <v>6005</v>
      </c>
      <c r="C468" s="7" t="str">
        <f>"靳然"</f>
        <v>靳然</v>
      </c>
      <c r="D468" s="9">
        <v>17</v>
      </c>
      <c r="E468" s="9">
        <v>28</v>
      </c>
      <c r="F468" s="10" t="s">
        <v>10</v>
      </c>
      <c r="G468" s="11">
        <v>81.58</v>
      </c>
      <c r="H468" s="7"/>
      <c r="I468" s="11">
        <v>81.58</v>
      </c>
    </row>
    <row r="469" s="1" customFormat="1" ht="23" customHeight="1" spans="1:9">
      <c r="A469" s="7" t="str">
        <f>"50050932523"</f>
        <v>50050932523</v>
      </c>
      <c r="B469" s="7" t="str">
        <f>"5005"</f>
        <v>5005</v>
      </c>
      <c r="C469" s="7" t="str">
        <f>"林巧"</f>
        <v>林巧</v>
      </c>
      <c r="D469" s="9">
        <v>17</v>
      </c>
      <c r="E469" s="9">
        <v>29</v>
      </c>
      <c r="F469" s="10" t="s">
        <v>10</v>
      </c>
      <c r="G469" s="11">
        <v>82.32</v>
      </c>
      <c r="H469" s="7"/>
      <c r="I469" s="11">
        <v>82.32</v>
      </c>
    </row>
    <row r="470" s="1" customFormat="1" ht="23" customHeight="1" spans="1:9">
      <c r="A470" s="7" t="str">
        <f>"20110516325"</f>
        <v>20110516325</v>
      </c>
      <c r="B470" s="7" t="str">
        <f>"2011"</f>
        <v>2011</v>
      </c>
      <c r="C470" s="7" t="str">
        <f>"敬子葳"</f>
        <v>敬子葳</v>
      </c>
      <c r="D470" s="9">
        <v>17</v>
      </c>
      <c r="E470" s="10" t="s">
        <v>11</v>
      </c>
      <c r="F470" s="10" t="s">
        <v>10</v>
      </c>
      <c r="G470" s="12" t="s">
        <v>11</v>
      </c>
      <c r="H470" s="7"/>
      <c r="I470" s="12" t="s">
        <v>11</v>
      </c>
    </row>
    <row r="471" s="1" customFormat="1" ht="23" customHeight="1" spans="1:9">
      <c r="A471" s="7" t="str">
        <f>"30110622424"</f>
        <v>30110622424</v>
      </c>
      <c r="B471" s="7" t="str">
        <f>"3011"</f>
        <v>3011</v>
      </c>
      <c r="C471" s="7" t="str">
        <f>"侯鑫"</f>
        <v>侯鑫</v>
      </c>
      <c r="D471" s="9">
        <v>17</v>
      </c>
      <c r="E471" s="10" t="s">
        <v>11</v>
      </c>
      <c r="F471" s="10" t="s">
        <v>10</v>
      </c>
      <c r="G471" s="12" t="s">
        <v>11</v>
      </c>
      <c r="H471" s="7"/>
      <c r="I471" s="12" t="s">
        <v>11</v>
      </c>
    </row>
    <row r="472" s="1" customFormat="1" ht="23" customHeight="1" spans="1:9">
      <c r="A472" s="7" t="str">
        <f>"30120623206"</f>
        <v>30120623206</v>
      </c>
      <c r="B472" s="7" t="str">
        <f>"3012"</f>
        <v>3012</v>
      </c>
      <c r="C472" s="7" t="str">
        <f>"李倩"</f>
        <v>李倩</v>
      </c>
      <c r="D472" s="9">
        <v>18</v>
      </c>
      <c r="E472" s="9">
        <v>1</v>
      </c>
      <c r="F472" s="10" t="s">
        <v>10</v>
      </c>
      <c r="G472" s="11">
        <v>81.46</v>
      </c>
      <c r="H472" s="7"/>
      <c r="I472" s="11">
        <v>81.46</v>
      </c>
    </row>
    <row r="473" s="1" customFormat="1" ht="23" customHeight="1" spans="1:9">
      <c r="A473" s="7" t="str">
        <f>"30120623119"</f>
        <v>30120623119</v>
      </c>
      <c r="B473" s="7" t="str">
        <f>"3012"</f>
        <v>3012</v>
      </c>
      <c r="C473" s="7" t="str">
        <f>"徐纯"</f>
        <v>徐纯</v>
      </c>
      <c r="D473" s="9">
        <v>18</v>
      </c>
      <c r="E473" s="9">
        <v>2</v>
      </c>
      <c r="F473" s="10" t="s">
        <v>10</v>
      </c>
      <c r="G473" s="11">
        <v>83.56</v>
      </c>
      <c r="H473" s="7"/>
      <c r="I473" s="11">
        <v>83.56</v>
      </c>
    </row>
    <row r="474" s="1" customFormat="1" ht="23" customHeight="1" spans="1:9">
      <c r="A474" s="7" t="str">
        <f>"30120623111"</f>
        <v>30120623111</v>
      </c>
      <c r="B474" s="7" t="str">
        <f>"3012"</f>
        <v>3012</v>
      </c>
      <c r="C474" s="7" t="str">
        <f>"张怡"</f>
        <v>张怡</v>
      </c>
      <c r="D474" s="9">
        <v>18</v>
      </c>
      <c r="E474" s="9">
        <v>3</v>
      </c>
      <c r="F474" s="10" t="s">
        <v>10</v>
      </c>
      <c r="G474" s="11">
        <v>82.56</v>
      </c>
      <c r="H474" s="7"/>
      <c r="I474" s="11">
        <v>82.56</v>
      </c>
    </row>
    <row r="475" s="1" customFormat="1" ht="23" customHeight="1" spans="1:9">
      <c r="A475" s="7" t="str">
        <f>"20120516506"</f>
        <v>20120516506</v>
      </c>
      <c r="B475" s="7" t="str">
        <f>"2012"</f>
        <v>2012</v>
      </c>
      <c r="C475" s="7" t="str">
        <f>"乔兆恬"</f>
        <v>乔兆恬</v>
      </c>
      <c r="D475" s="9">
        <v>18</v>
      </c>
      <c r="E475" s="9">
        <v>4</v>
      </c>
      <c r="F475" s="10" t="s">
        <v>10</v>
      </c>
      <c r="G475" s="11">
        <v>82.18</v>
      </c>
      <c r="H475" s="7"/>
      <c r="I475" s="11">
        <v>82.18</v>
      </c>
    </row>
    <row r="476" s="1" customFormat="1" ht="23" customHeight="1" spans="1:9">
      <c r="A476" s="7" t="str">
        <f>"30120622518"</f>
        <v>30120622518</v>
      </c>
      <c r="B476" s="7" t="str">
        <f>"3012"</f>
        <v>3012</v>
      </c>
      <c r="C476" s="7" t="str">
        <f>"李月同"</f>
        <v>李月同</v>
      </c>
      <c r="D476" s="9">
        <v>18</v>
      </c>
      <c r="E476" s="9">
        <v>5</v>
      </c>
      <c r="F476" s="10" t="s">
        <v>10</v>
      </c>
      <c r="G476" s="11">
        <v>82.66</v>
      </c>
      <c r="H476" s="7"/>
      <c r="I476" s="11">
        <v>82.66</v>
      </c>
    </row>
    <row r="477" s="1" customFormat="1" ht="23" customHeight="1" spans="1:9">
      <c r="A477" s="7" t="str">
        <f>"30120622807"</f>
        <v>30120622807</v>
      </c>
      <c r="B477" s="7" t="str">
        <f>"3012"</f>
        <v>3012</v>
      </c>
      <c r="C477" s="7" t="str">
        <f>"刘桐"</f>
        <v>刘桐</v>
      </c>
      <c r="D477" s="9">
        <v>18</v>
      </c>
      <c r="E477" s="9">
        <v>6</v>
      </c>
      <c r="F477" s="10" t="s">
        <v>10</v>
      </c>
      <c r="G477" s="11">
        <v>83.96</v>
      </c>
      <c r="H477" s="7"/>
      <c r="I477" s="11">
        <v>83.96</v>
      </c>
    </row>
    <row r="478" s="1" customFormat="1" ht="23" customHeight="1" spans="1:9">
      <c r="A478" s="7" t="str">
        <f>"20120516513"</f>
        <v>20120516513</v>
      </c>
      <c r="B478" s="7" t="str">
        <f>"2012"</f>
        <v>2012</v>
      </c>
      <c r="C478" s="7" t="str">
        <f>"张爽"</f>
        <v>张爽</v>
      </c>
      <c r="D478" s="9">
        <v>18</v>
      </c>
      <c r="E478" s="9">
        <v>7</v>
      </c>
      <c r="F478" s="10" t="s">
        <v>10</v>
      </c>
      <c r="G478" s="11">
        <v>81.8</v>
      </c>
      <c r="H478" s="7"/>
      <c r="I478" s="11">
        <v>81.8</v>
      </c>
    </row>
    <row r="479" s="1" customFormat="1" ht="23" customHeight="1" spans="1:9">
      <c r="A479" s="7" t="str">
        <f>"20120516522"</f>
        <v>20120516522</v>
      </c>
      <c r="B479" s="7" t="str">
        <f>"2012"</f>
        <v>2012</v>
      </c>
      <c r="C479" s="7" t="str">
        <f>"党素"</f>
        <v>党素</v>
      </c>
      <c r="D479" s="9">
        <v>18</v>
      </c>
      <c r="E479" s="9">
        <v>8</v>
      </c>
      <c r="F479" s="10" t="s">
        <v>10</v>
      </c>
      <c r="G479" s="11">
        <v>83.14</v>
      </c>
      <c r="H479" s="7"/>
      <c r="I479" s="11">
        <v>83.14</v>
      </c>
    </row>
    <row r="480" s="1" customFormat="1" ht="23" customHeight="1" spans="1:9">
      <c r="A480" s="7" t="str">
        <f>"20120516608"</f>
        <v>20120516608</v>
      </c>
      <c r="B480" s="7" t="str">
        <f>"2012"</f>
        <v>2012</v>
      </c>
      <c r="C480" s="7" t="str">
        <f>"杨欣"</f>
        <v>杨欣</v>
      </c>
      <c r="D480" s="9">
        <v>18</v>
      </c>
      <c r="E480" s="9">
        <v>9</v>
      </c>
      <c r="F480" s="10" t="s">
        <v>10</v>
      </c>
      <c r="G480" s="11">
        <v>84.14</v>
      </c>
      <c r="H480" s="7"/>
      <c r="I480" s="11">
        <v>84.14</v>
      </c>
    </row>
    <row r="481" s="1" customFormat="1" ht="23" customHeight="1" spans="1:9">
      <c r="A481" s="7" t="str">
        <f>"30120623230"</f>
        <v>30120623230</v>
      </c>
      <c r="B481" s="7" t="str">
        <f>"3012"</f>
        <v>3012</v>
      </c>
      <c r="C481" s="7" t="str">
        <f>"鲁曼曼"</f>
        <v>鲁曼曼</v>
      </c>
      <c r="D481" s="9">
        <v>18</v>
      </c>
      <c r="E481" s="9">
        <v>10</v>
      </c>
      <c r="F481" s="10" t="s">
        <v>10</v>
      </c>
      <c r="G481" s="11">
        <v>83.5</v>
      </c>
      <c r="H481" s="7"/>
      <c r="I481" s="11">
        <v>83.5</v>
      </c>
    </row>
    <row r="482" s="1" customFormat="1" ht="23" customHeight="1" spans="1:9">
      <c r="A482" s="7" t="str">
        <f>"30120623213"</f>
        <v>30120623213</v>
      </c>
      <c r="B482" s="7" t="str">
        <f>"3012"</f>
        <v>3012</v>
      </c>
      <c r="C482" s="7" t="str">
        <f>"刘依佳"</f>
        <v>刘依佳</v>
      </c>
      <c r="D482" s="9">
        <v>18</v>
      </c>
      <c r="E482" s="9">
        <v>11</v>
      </c>
      <c r="F482" s="10" t="s">
        <v>10</v>
      </c>
      <c r="G482" s="11">
        <v>83.88</v>
      </c>
      <c r="H482" s="7"/>
      <c r="I482" s="11">
        <v>83.88</v>
      </c>
    </row>
    <row r="483" s="1" customFormat="1" ht="23" customHeight="1" spans="1:9">
      <c r="A483" s="7" t="str">
        <f>"20120516804"</f>
        <v>20120516804</v>
      </c>
      <c r="B483" s="7" t="str">
        <f>"2012"</f>
        <v>2012</v>
      </c>
      <c r="C483" s="7" t="str">
        <f>"张姣姣"</f>
        <v>张姣姣</v>
      </c>
      <c r="D483" s="9">
        <v>18</v>
      </c>
      <c r="E483" s="9">
        <v>12</v>
      </c>
      <c r="F483" s="10" t="s">
        <v>10</v>
      </c>
      <c r="G483" s="11">
        <v>83.32</v>
      </c>
      <c r="H483" s="7"/>
      <c r="I483" s="11">
        <v>83.32</v>
      </c>
    </row>
    <row r="484" s="1" customFormat="1" ht="23" customHeight="1" spans="1:9">
      <c r="A484" s="7" t="str">
        <f>"30120623026"</f>
        <v>30120623026</v>
      </c>
      <c r="B484" s="7" t="str">
        <f>"3012"</f>
        <v>3012</v>
      </c>
      <c r="C484" s="7" t="str">
        <f>"侯宇晴"</f>
        <v>侯宇晴</v>
      </c>
      <c r="D484" s="9">
        <v>18</v>
      </c>
      <c r="E484" s="9">
        <v>13</v>
      </c>
      <c r="F484" s="10" t="s">
        <v>10</v>
      </c>
      <c r="G484" s="11">
        <v>81.44</v>
      </c>
      <c r="H484" s="7"/>
      <c r="I484" s="11">
        <v>81.44</v>
      </c>
    </row>
    <row r="485" s="1" customFormat="1" ht="23" customHeight="1" spans="1:9">
      <c r="A485" s="7" t="str">
        <f>"30120623209"</f>
        <v>30120623209</v>
      </c>
      <c r="B485" s="7" t="str">
        <f>"3012"</f>
        <v>3012</v>
      </c>
      <c r="C485" s="7" t="str">
        <f>"薛杨鸽"</f>
        <v>薛杨鸽</v>
      </c>
      <c r="D485" s="9">
        <v>18</v>
      </c>
      <c r="E485" s="9">
        <v>14</v>
      </c>
      <c r="F485" s="10" t="s">
        <v>10</v>
      </c>
      <c r="G485" s="11">
        <v>82.8</v>
      </c>
      <c r="H485" s="7"/>
      <c r="I485" s="11">
        <v>82.8</v>
      </c>
    </row>
    <row r="486" s="1" customFormat="1" ht="23" customHeight="1" spans="1:9">
      <c r="A486" s="7" t="str">
        <f>"60060934614"</f>
        <v>60060934614</v>
      </c>
      <c r="B486" s="7" t="str">
        <f>"6006"</f>
        <v>6006</v>
      </c>
      <c r="C486" s="7" t="str">
        <f>"郭琬鑫"</f>
        <v>郭琬鑫</v>
      </c>
      <c r="D486" s="9">
        <v>18</v>
      </c>
      <c r="E486" s="9">
        <v>15</v>
      </c>
      <c r="F486" s="10" t="s">
        <v>10</v>
      </c>
      <c r="G486" s="11">
        <v>82.26</v>
      </c>
      <c r="H486" s="7"/>
      <c r="I486" s="11">
        <v>82.26</v>
      </c>
    </row>
    <row r="487" s="1" customFormat="1" ht="23" customHeight="1" spans="1:9">
      <c r="A487" s="7" t="str">
        <f>"60060934603"</f>
        <v>60060934603</v>
      </c>
      <c r="B487" s="7" t="str">
        <f>"6006"</f>
        <v>6006</v>
      </c>
      <c r="C487" s="7" t="str">
        <f>"王玉娟"</f>
        <v>王玉娟</v>
      </c>
      <c r="D487" s="9">
        <v>18</v>
      </c>
      <c r="E487" s="9">
        <v>16</v>
      </c>
      <c r="F487" s="10" t="s">
        <v>10</v>
      </c>
      <c r="G487" s="11">
        <v>82.24</v>
      </c>
      <c r="H487" s="7"/>
      <c r="I487" s="11">
        <v>82.24</v>
      </c>
    </row>
    <row r="488" s="1" customFormat="1" ht="23" customHeight="1" spans="1:9">
      <c r="A488" s="7" t="str">
        <f>"60060934612"</f>
        <v>60060934612</v>
      </c>
      <c r="B488" s="7" t="str">
        <f>"6006"</f>
        <v>6006</v>
      </c>
      <c r="C488" s="7" t="str">
        <f>"李恒"</f>
        <v>李恒</v>
      </c>
      <c r="D488" s="9">
        <v>18</v>
      </c>
      <c r="E488" s="9">
        <v>17</v>
      </c>
      <c r="F488" s="10" t="s">
        <v>10</v>
      </c>
      <c r="G488" s="11">
        <v>84.36</v>
      </c>
      <c r="H488" s="7"/>
      <c r="I488" s="11">
        <v>84.36</v>
      </c>
    </row>
    <row r="489" s="1" customFormat="1" ht="23" customHeight="1" spans="1:9">
      <c r="A489" s="7" t="str">
        <f>"50060933519"</f>
        <v>50060933519</v>
      </c>
      <c r="B489" s="7" t="str">
        <f t="shared" ref="B489:B495" si="10">"5006"</f>
        <v>5006</v>
      </c>
      <c r="C489" s="7" t="str">
        <f>"李雅博"</f>
        <v>李雅博</v>
      </c>
      <c r="D489" s="9">
        <v>18</v>
      </c>
      <c r="E489" s="9">
        <v>18</v>
      </c>
      <c r="F489" s="10" t="s">
        <v>10</v>
      </c>
      <c r="G489" s="11">
        <v>83.12</v>
      </c>
      <c r="H489" s="7"/>
      <c r="I489" s="11">
        <v>83.12</v>
      </c>
    </row>
    <row r="490" s="1" customFormat="1" ht="23" customHeight="1" spans="1:9">
      <c r="A490" s="7" t="str">
        <f>"50060933515"</f>
        <v>50060933515</v>
      </c>
      <c r="B490" s="7" t="str">
        <f t="shared" si="10"/>
        <v>5006</v>
      </c>
      <c r="C490" s="7" t="str">
        <f>"蔺婉婷"</f>
        <v>蔺婉婷</v>
      </c>
      <c r="D490" s="9">
        <v>18</v>
      </c>
      <c r="E490" s="9">
        <v>19</v>
      </c>
      <c r="F490" s="10" t="s">
        <v>10</v>
      </c>
      <c r="G490" s="11">
        <v>83.02</v>
      </c>
      <c r="H490" s="7"/>
      <c r="I490" s="11">
        <v>83.02</v>
      </c>
    </row>
    <row r="491" s="1" customFormat="1" ht="23" customHeight="1" spans="1:9">
      <c r="A491" s="7" t="str">
        <f>"50060933126"</f>
        <v>50060933126</v>
      </c>
      <c r="B491" s="7" t="str">
        <f t="shared" si="10"/>
        <v>5006</v>
      </c>
      <c r="C491" s="7" t="str">
        <f>"罗笑笑"</f>
        <v>罗笑笑</v>
      </c>
      <c r="D491" s="9">
        <v>18</v>
      </c>
      <c r="E491" s="9">
        <v>20</v>
      </c>
      <c r="F491" s="10" t="s">
        <v>10</v>
      </c>
      <c r="G491" s="11">
        <v>82.98</v>
      </c>
      <c r="H491" s="7"/>
      <c r="I491" s="11">
        <v>82.98</v>
      </c>
    </row>
    <row r="492" s="1" customFormat="1" ht="23" customHeight="1" spans="1:9">
      <c r="A492" s="7" t="str">
        <f>"50060933611"</f>
        <v>50060933611</v>
      </c>
      <c r="B492" s="7" t="str">
        <f t="shared" si="10"/>
        <v>5006</v>
      </c>
      <c r="C492" s="7" t="str">
        <f>"郑雨萌"</f>
        <v>郑雨萌</v>
      </c>
      <c r="D492" s="9">
        <v>18</v>
      </c>
      <c r="E492" s="9">
        <v>21</v>
      </c>
      <c r="F492" s="10" t="s">
        <v>10</v>
      </c>
      <c r="G492" s="11">
        <v>83.02</v>
      </c>
      <c r="H492" s="7"/>
      <c r="I492" s="11">
        <v>83.02</v>
      </c>
    </row>
    <row r="493" s="1" customFormat="1" ht="23" customHeight="1" spans="1:9">
      <c r="A493" s="7" t="str">
        <f>"50060933022"</f>
        <v>50060933022</v>
      </c>
      <c r="B493" s="7" t="str">
        <f t="shared" si="10"/>
        <v>5006</v>
      </c>
      <c r="C493" s="7" t="str">
        <f>"范琳琳"</f>
        <v>范琳琳</v>
      </c>
      <c r="D493" s="9">
        <v>18</v>
      </c>
      <c r="E493" s="9">
        <v>22</v>
      </c>
      <c r="F493" s="10" t="s">
        <v>10</v>
      </c>
      <c r="G493" s="11">
        <v>82.86</v>
      </c>
      <c r="H493" s="7"/>
      <c r="I493" s="11">
        <v>82.86</v>
      </c>
    </row>
    <row r="494" s="1" customFormat="1" ht="23" customHeight="1" spans="1:9">
      <c r="A494" s="7" t="str">
        <f>"50060933425"</f>
        <v>50060933425</v>
      </c>
      <c r="B494" s="7" t="str">
        <f t="shared" si="10"/>
        <v>5006</v>
      </c>
      <c r="C494" s="7" t="str">
        <f>"侯腊梅"</f>
        <v>侯腊梅</v>
      </c>
      <c r="D494" s="9">
        <v>18</v>
      </c>
      <c r="E494" s="9">
        <v>23</v>
      </c>
      <c r="F494" s="10" t="s">
        <v>10</v>
      </c>
      <c r="G494" s="11">
        <v>83.36</v>
      </c>
      <c r="H494" s="7"/>
      <c r="I494" s="11">
        <v>83.36</v>
      </c>
    </row>
    <row r="495" s="1" customFormat="1" ht="23" customHeight="1" spans="1:9">
      <c r="A495" s="7" t="str">
        <f>"50060933302"</f>
        <v>50060933302</v>
      </c>
      <c r="B495" s="7" t="str">
        <f t="shared" si="10"/>
        <v>5006</v>
      </c>
      <c r="C495" s="7" t="str">
        <f>"孙梦"</f>
        <v>孙梦</v>
      </c>
      <c r="D495" s="9">
        <v>18</v>
      </c>
      <c r="E495" s="9">
        <v>24</v>
      </c>
      <c r="F495" s="10" t="s">
        <v>10</v>
      </c>
      <c r="G495" s="11">
        <v>83.42</v>
      </c>
      <c r="H495" s="7"/>
      <c r="I495" s="11">
        <v>83.42</v>
      </c>
    </row>
    <row r="496" s="1" customFormat="1" ht="23" customHeight="1" spans="1:9">
      <c r="A496" s="7" t="str">
        <f>"60060934609"</f>
        <v>60060934609</v>
      </c>
      <c r="B496" s="7" t="str">
        <f>"6006"</f>
        <v>6006</v>
      </c>
      <c r="C496" s="7" t="str">
        <f>"常珂"</f>
        <v>常珂</v>
      </c>
      <c r="D496" s="9">
        <v>18</v>
      </c>
      <c r="E496" s="9">
        <v>25</v>
      </c>
      <c r="F496" s="10" t="s">
        <v>10</v>
      </c>
      <c r="G496" s="11">
        <v>82.8</v>
      </c>
      <c r="H496" s="7"/>
      <c r="I496" s="11">
        <v>82.8</v>
      </c>
    </row>
    <row r="497" s="1" customFormat="1" ht="23" customHeight="1" spans="1:9">
      <c r="A497" s="7" t="str">
        <f>"60060934525"</f>
        <v>60060934525</v>
      </c>
      <c r="B497" s="7" t="str">
        <f>"6006"</f>
        <v>6006</v>
      </c>
      <c r="C497" s="7" t="str">
        <f>"肖飒"</f>
        <v>肖飒</v>
      </c>
      <c r="D497" s="9">
        <v>18</v>
      </c>
      <c r="E497" s="9">
        <v>26</v>
      </c>
      <c r="F497" s="10" t="s">
        <v>10</v>
      </c>
      <c r="G497" s="11">
        <v>83.34</v>
      </c>
      <c r="H497" s="7"/>
      <c r="I497" s="11">
        <v>83.34</v>
      </c>
    </row>
    <row r="498" s="1" customFormat="1" ht="23" customHeight="1" spans="1:9">
      <c r="A498" s="7" t="str">
        <f>"50060933217"</f>
        <v>50060933217</v>
      </c>
      <c r="B498" s="7" t="str">
        <f>"5006"</f>
        <v>5006</v>
      </c>
      <c r="C498" s="7" t="str">
        <f>"王金"</f>
        <v>王金</v>
      </c>
      <c r="D498" s="9">
        <v>18</v>
      </c>
      <c r="E498" s="9">
        <v>27</v>
      </c>
      <c r="F498" s="10" t="s">
        <v>10</v>
      </c>
      <c r="G498" s="11">
        <v>82.66</v>
      </c>
      <c r="H498" s="7"/>
      <c r="I498" s="11">
        <v>82.66</v>
      </c>
    </row>
    <row r="499" s="1" customFormat="1" ht="23" customHeight="1" spans="1:9">
      <c r="A499" s="7" t="str">
        <f>"60060934528"</f>
        <v>60060934528</v>
      </c>
      <c r="B499" s="7" t="str">
        <f>"6006"</f>
        <v>6006</v>
      </c>
      <c r="C499" s="7" t="str">
        <f>"张茜"</f>
        <v>张茜</v>
      </c>
      <c r="D499" s="9">
        <v>18</v>
      </c>
      <c r="E499" s="9">
        <v>28</v>
      </c>
      <c r="F499" s="10" t="s">
        <v>10</v>
      </c>
      <c r="G499" s="11">
        <v>82.82</v>
      </c>
      <c r="H499" s="7"/>
      <c r="I499" s="11">
        <v>82.82</v>
      </c>
    </row>
    <row r="500" s="1" customFormat="1" ht="23" customHeight="1" spans="1:9">
      <c r="A500" s="7" t="str">
        <f>"50060932901"</f>
        <v>50060932901</v>
      </c>
      <c r="B500" s="7" t="str">
        <f>"5006"</f>
        <v>5006</v>
      </c>
      <c r="C500" s="7" t="str">
        <f>"周嘉欣"</f>
        <v>周嘉欣</v>
      </c>
      <c r="D500" s="9">
        <v>18</v>
      </c>
      <c r="E500" s="9">
        <v>29</v>
      </c>
      <c r="F500" s="10" t="s">
        <v>10</v>
      </c>
      <c r="G500" s="11">
        <v>82.82</v>
      </c>
      <c r="H500" s="7"/>
      <c r="I500" s="11">
        <v>82.82</v>
      </c>
    </row>
    <row r="501" s="1" customFormat="1" ht="23" customHeight="1" spans="1:9">
      <c r="A501" s="7" t="str">
        <f>"70010103324"</f>
        <v>70010103324</v>
      </c>
      <c r="B501" s="7" t="str">
        <f t="shared" ref="B501:B547" si="11">"7001"</f>
        <v>7001</v>
      </c>
      <c r="C501" s="7" t="str">
        <f>"贾英楠"</f>
        <v>贾英楠</v>
      </c>
      <c r="D501" s="9">
        <v>19</v>
      </c>
      <c r="E501" s="9">
        <v>1</v>
      </c>
      <c r="F501" s="10" t="s">
        <v>10</v>
      </c>
      <c r="G501" s="11">
        <v>82.78</v>
      </c>
      <c r="H501" s="7">
        <v>1.0042</v>
      </c>
      <c r="I501" s="11">
        <f>G501*H501</f>
        <v>83.127676</v>
      </c>
    </row>
    <row r="502" s="1" customFormat="1" ht="23" customHeight="1" spans="1:9">
      <c r="A502" s="7" t="str">
        <f>"70010100930"</f>
        <v>70010100930</v>
      </c>
      <c r="B502" s="7" t="str">
        <f t="shared" si="11"/>
        <v>7001</v>
      </c>
      <c r="C502" s="7" t="str">
        <f>"梁永开"</f>
        <v>梁永开</v>
      </c>
      <c r="D502" s="9">
        <v>19</v>
      </c>
      <c r="E502" s="9">
        <v>2</v>
      </c>
      <c r="F502" s="10" t="s">
        <v>10</v>
      </c>
      <c r="G502" s="11">
        <v>81.36</v>
      </c>
      <c r="H502" s="7">
        <v>1.0042</v>
      </c>
      <c r="I502" s="11">
        <f t="shared" ref="I502:I547" si="12">G502*H502</f>
        <v>81.701712</v>
      </c>
    </row>
    <row r="503" s="1" customFormat="1" ht="23" customHeight="1" spans="1:9">
      <c r="A503" s="7" t="str">
        <f>"70010104608"</f>
        <v>70010104608</v>
      </c>
      <c r="B503" s="7" t="str">
        <f t="shared" si="11"/>
        <v>7001</v>
      </c>
      <c r="C503" s="7" t="str">
        <f>"张贤贤"</f>
        <v>张贤贤</v>
      </c>
      <c r="D503" s="9">
        <v>19</v>
      </c>
      <c r="E503" s="9">
        <v>3</v>
      </c>
      <c r="F503" s="10" t="s">
        <v>10</v>
      </c>
      <c r="G503" s="11">
        <v>83.78</v>
      </c>
      <c r="H503" s="7">
        <v>1.0042</v>
      </c>
      <c r="I503" s="11">
        <f t="shared" si="12"/>
        <v>84.131876</v>
      </c>
    </row>
    <row r="504" s="1" customFormat="1" ht="23" customHeight="1" spans="1:9">
      <c r="A504" s="7" t="str">
        <f>"70010101003"</f>
        <v>70010101003</v>
      </c>
      <c r="B504" s="7" t="str">
        <f t="shared" si="11"/>
        <v>7001</v>
      </c>
      <c r="C504" s="7" t="str">
        <f>"吴豫嘉"</f>
        <v>吴豫嘉</v>
      </c>
      <c r="D504" s="9">
        <v>19</v>
      </c>
      <c r="E504" s="9">
        <v>4</v>
      </c>
      <c r="F504" s="10" t="s">
        <v>10</v>
      </c>
      <c r="G504" s="11">
        <v>81.98</v>
      </c>
      <c r="H504" s="7">
        <v>1.0042</v>
      </c>
      <c r="I504" s="11">
        <f t="shared" si="12"/>
        <v>82.324316</v>
      </c>
    </row>
    <row r="505" s="1" customFormat="1" ht="23" customHeight="1" spans="1:9">
      <c r="A505" s="7" t="str">
        <f>"70010103117"</f>
        <v>70010103117</v>
      </c>
      <c r="B505" s="7" t="str">
        <f t="shared" si="11"/>
        <v>7001</v>
      </c>
      <c r="C505" s="7" t="str">
        <f>"刘洋"</f>
        <v>刘洋</v>
      </c>
      <c r="D505" s="9">
        <v>19</v>
      </c>
      <c r="E505" s="9">
        <v>5</v>
      </c>
      <c r="F505" s="10" t="s">
        <v>10</v>
      </c>
      <c r="G505" s="11">
        <v>81.9</v>
      </c>
      <c r="H505" s="7">
        <v>1.0042</v>
      </c>
      <c r="I505" s="11">
        <f t="shared" si="12"/>
        <v>82.24398</v>
      </c>
    </row>
    <row r="506" s="1" customFormat="1" ht="23" customHeight="1" spans="1:9">
      <c r="A506" s="7" t="str">
        <f>"70010101808"</f>
        <v>70010101808</v>
      </c>
      <c r="B506" s="7" t="str">
        <f t="shared" si="11"/>
        <v>7001</v>
      </c>
      <c r="C506" s="7" t="str">
        <f>"张悦颖"</f>
        <v>张悦颖</v>
      </c>
      <c r="D506" s="9">
        <v>19</v>
      </c>
      <c r="E506" s="9">
        <v>6</v>
      </c>
      <c r="F506" s="10" t="s">
        <v>10</v>
      </c>
      <c r="G506" s="11">
        <v>84.22</v>
      </c>
      <c r="H506" s="7">
        <v>1.0042</v>
      </c>
      <c r="I506" s="11">
        <f t="shared" si="12"/>
        <v>84.573724</v>
      </c>
    </row>
    <row r="507" s="1" customFormat="1" ht="23" customHeight="1" spans="1:9">
      <c r="A507" s="7" t="str">
        <f>"70010102824"</f>
        <v>70010102824</v>
      </c>
      <c r="B507" s="7" t="str">
        <f t="shared" si="11"/>
        <v>7001</v>
      </c>
      <c r="C507" s="7" t="str">
        <f>"李海燕"</f>
        <v>李海燕</v>
      </c>
      <c r="D507" s="9">
        <v>19</v>
      </c>
      <c r="E507" s="9">
        <v>7</v>
      </c>
      <c r="F507" s="10" t="s">
        <v>10</v>
      </c>
      <c r="G507" s="11">
        <v>81.84</v>
      </c>
      <c r="H507" s="7">
        <v>1.0042</v>
      </c>
      <c r="I507" s="11">
        <f t="shared" si="12"/>
        <v>82.183728</v>
      </c>
    </row>
    <row r="508" s="1" customFormat="1" ht="23" customHeight="1" spans="1:9">
      <c r="A508" s="7" t="str">
        <f>"70010102604"</f>
        <v>70010102604</v>
      </c>
      <c r="B508" s="7" t="str">
        <f t="shared" si="11"/>
        <v>7001</v>
      </c>
      <c r="C508" s="7" t="str">
        <f>"曹艺"</f>
        <v>曹艺</v>
      </c>
      <c r="D508" s="9">
        <v>19</v>
      </c>
      <c r="E508" s="9">
        <v>8</v>
      </c>
      <c r="F508" s="10" t="s">
        <v>10</v>
      </c>
      <c r="G508" s="11">
        <v>82.98</v>
      </c>
      <c r="H508" s="7">
        <v>1.0042</v>
      </c>
      <c r="I508" s="11">
        <f t="shared" si="12"/>
        <v>83.328516</v>
      </c>
    </row>
    <row r="509" s="1" customFormat="1" ht="23" customHeight="1" spans="1:9">
      <c r="A509" s="7" t="str">
        <f>"70010103512"</f>
        <v>70010103512</v>
      </c>
      <c r="B509" s="7" t="str">
        <f t="shared" si="11"/>
        <v>7001</v>
      </c>
      <c r="C509" s="7" t="str">
        <f>"贾晗晗"</f>
        <v>贾晗晗</v>
      </c>
      <c r="D509" s="9">
        <v>19</v>
      </c>
      <c r="E509" s="9">
        <v>9</v>
      </c>
      <c r="F509" s="10" t="s">
        <v>10</v>
      </c>
      <c r="G509" s="11">
        <v>81.02</v>
      </c>
      <c r="H509" s="7">
        <v>1.0042</v>
      </c>
      <c r="I509" s="11">
        <f t="shared" si="12"/>
        <v>81.360284</v>
      </c>
    </row>
    <row r="510" s="1" customFormat="1" ht="23" customHeight="1" spans="1:9">
      <c r="A510" s="7" t="str">
        <f>"70010103215"</f>
        <v>70010103215</v>
      </c>
      <c r="B510" s="7" t="str">
        <f t="shared" si="11"/>
        <v>7001</v>
      </c>
      <c r="C510" s="7" t="str">
        <f>"范文静"</f>
        <v>范文静</v>
      </c>
      <c r="D510" s="9">
        <v>19</v>
      </c>
      <c r="E510" s="9">
        <v>10</v>
      </c>
      <c r="F510" s="10" t="s">
        <v>10</v>
      </c>
      <c r="G510" s="11">
        <v>83.12</v>
      </c>
      <c r="H510" s="7">
        <v>1.0042</v>
      </c>
      <c r="I510" s="11">
        <f t="shared" si="12"/>
        <v>83.469104</v>
      </c>
    </row>
    <row r="511" s="1" customFormat="1" ht="23" customHeight="1" spans="1:9">
      <c r="A511" s="7" t="str">
        <f>"70010103313"</f>
        <v>70010103313</v>
      </c>
      <c r="B511" s="7" t="str">
        <f t="shared" si="11"/>
        <v>7001</v>
      </c>
      <c r="C511" s="7" t="str">
        <f>"董露露"</f>
        <v>董露露</v>
      </c>
      <c r="D511" s="9">
        <v>19</v>
      </c>
      <c r="E511" s="9">
        <v>11</v>
      </c>
      <c r="F511" s="10" t="s">
        <v>10</v>
      </c>
      <c r="G511" s="11">
        <v>83.24</v>
      </c>
      <c r="H511" s="7">
        <v>1.0042</v>
      </c>
      <c r="I511" s="11">
        <f t="shared" si="12"/>
        <v>83.589608</v>
      </c>
    </row>
    <row r="512" s="1" customFormat="1" ht="23" customHeight="1" spans="1:9">
      <c r="A512" s="7" t="str">
        <f>"70010101630"</f>
        <v>70010101630</v>
      </c>
      <c r="B512" s="7" t="str">
        <f t="shared" si="11"/>
        <v>7001</v>
      </c>
      <c r="C512" s="7" t="str">
        <f>"周婷"</f>
        <v>周婷</v>
      </c>
      <c r="D512" s="9">
        <v>19</v>
      </c>
      <c r="E512" s="9">
        <v>12</v>
      </c>
      <c r="F512" s="10" t="s">
        <v>10</v>
      </c>
      <c r="G512" s="11">
        <v>83.18</v>
      </c>
      <c r="H512" s="7">
        <v>1.0042</v>
      </c>
      <c r="I512" s="11">
        <f t="shared" si="12"/>
        <v>83.529356</v>
      </c>
    </row>
    <row r="513" s="1" customFormat="1" ht="23" customHeight="1" spans="1:9">
      <c r="A513" s="7" t="str">
        <f>"70010103320"</f>
        <v>70010103320</v>
      </c>
      <c r="B513" s="7" t="str">
        <f t="shared" si="11"/>
        <v>7001</v>
      </c>
      <c r="C513" s="7" t="str">
        <f>"马新月"</f>
        <v>马新月</v>
      </c>
      <c r="D513" s="9">
        <v>19</v>
      </c>
      <c r="E513" s="9">
        <v>13</v>
      </c>
      <c r="F513" s="10" t="s">
        <v>10</v>
      </c>
      <c r="G513" s="11">
        <v>81.32</v>
      </c>
      <c r="H513" s="7">
        <v>1.0042</v>
      </c>
      <c r="I513" s="11">
        <f t="shared" si="12"/>
        <v>81.661544</v>
      </c>
    </row>
    <row r="514" s="1" customFormat="1" ht="23" customHeight="1" spans="1:9">
      <c r="A514" s="7" t="str">
        <f>"70010103528"</f>
        <v>70010103528</v>
      </c>
      <c r="B514" s="7" t="str">
        <f t="shared" si="11"/>
        <v>7001</v>
      </c>
      <c r="C514" s="7" t="str">
        <f>"刘玉婵"</f>
        <v>刘玉婵</v>
      </c>
      <c r="D514" s="9">
        <v>19</v>
      </c>
      <c r="E514" s="9">
        <v>14</v>
      </c>
      <c r="F514" s="10" t="s">
        <v>10</v>
      </c>
      <c r="G514" s="11">
        <v>82.24</v>
      </c>
      <c r="H514" s="7">
        <v>1.0042</v>
      </c>
      <c r="I514" s="11">
        <f t="shared" si="12"/>
        <v>82.585408</v>
      </c>
    </row>
    <row r="515" s="1" customFormat="1" ht="23" customHeight="1" spans="1:9">
      <c r="A515" s="7" t="str">
        <f>"70010102725"</f>
        <v>70010102725</v>
      </c>
      <c r="B515" s="7" t="str">
        <f t="shared" si="11"/>
        <v>7001</v>
      </c>
      <c r="C515" s="7" t="str">
        <f>"陈婷婷"</f>
        <v>陈婷婷</v>
      </c>
      <c r="D515" s="9">
        <v>19</v>
      </c>
      <c r="E515" s="9">
        <v>15</v>
      </c>
      <c r="F515" s="10" t="s">
        <v>10</v>
      </c>
      <c r="G515" s="11">
        <v>82.18</v>
      </c>
      <c r="H515" s="7">
        <v>1.0042</v>
      </c>
      <c r="I515" s="11">
        <f t="shared" si="12"/>
        <v>82.525156</v>
      </c>
    </row>
    <row r="516" s="1" customFormat="1" ht="23" customHeight="1" spans="1:9">
      <c r="A516" s="7" t="str">
        <f>"70010104203"</f>
        <v>70010104203</v>
      </c>
      <c r="B516" s="7" t="str">
        <f t="shared" si="11"/>
        <v>7001</v>
      </c>
      <c r="C516" s="7" t="str">
        <f>"韩金池"</f>
        <v>韩金池</v>
      </c>
      <c r="D516" s="9">
        <v>19</v>
      </c>
      <c r="E516" s="9">
        <v>16</v>
      </c>
      <c r="F516" s="10" t="s">
        <v>10</v>
      </c>
      <c r="G516" s="11">
        <v>83.14</v>
      </c>
      <c r="H516" s="7">
        <v>1.0042</v>
      </c>
      <c r="I516" s="11">
        <f t="shared" si="12"/>
        <v>83.489188</v>
      </c>
    </row>
    <row r="517" s="1" customFormat="1" ht="23" customHeight="1" spans="1:9">
      <c r="A517" s="7" t="str">
        <f>"70010104423"</f>
        <v>70010104423</v>
      </c>
      <c r="B517" s="7" t="str">
        <f t="shared" si="11"/>
        <v>7001</v>
      </c>
      <c r="C517" s="7" t="str">
        <f>"苏香香"</f>
        <v>苏香香</v>
      </c>
      <c r="D517" s="9">
        <v>19</v>
      </c>
      <c r="E517" s="9">
        <v>17</v>
      </c>
      <c r="F517" s="10" t="s">
        <v>10</v>
      </c>
      <c r="G517" s="11">
        <v>83.86</v>
      </c>
      <c r="H517" s="7">
        <v>1.0042</v>
      </c>
      <c r="I517" s="11">
        <f t="shared" si="12"/>
        <v>84.212212</v>
      </c>
    </row>
    <row r="518" s="1" customFormat="1" ht="23" customHeight="1" spans="1:9">
      <c r="A518" s="7" t="str">
        <f>"70010102203"</f>
        <v>70010102203</v>
      </c>
      <c r="B518" s="7" t="str">
        <f t="shared" si="11"/>
        <v>7001</v>
      </c>
      <c r="C518" s="7" t="str">
        <f>"党荷婷"</f>
        <v>党荷婷</v>
      </c>
      <c r="D518" s="9">
        <v>19</v>
      </c>
      <c r="E518" s="9">
        <v>18</v>
      </c>
      <c r="F518" s="10" t="s">
        <v>10</v>
      </c>
      <c r="G518" s="11">
        <v>82.3</v>
      </c>
      <c r="H518" s="7">
        <v>1.0042</v>
      </c>
      <c r="I518" s="11">
        <f t="shared" si="12"/>
        <v>82.64566</v>
      </c>
    </row>
    <row r="519" s="1" customFormat="1" ht="23" customHeight="1" spans="1:9">
      <c r="A519" s="7" t="str">
        <f>"70010104509"</f>
        <v>70010104509</v>
      </c>
      <c r="B519" s="7" t="str">
        <f t="shared" si="11"/>
        <v>7001</v>
      </c>
      <c r="C519" s="7" t="str">
        <f>"王丹丹"</f>
        <v>王丹丹</v>
      </c>
      <c r="D519" s="9">
        <v>19</v>
      </c>
      <c r="E519" s="9">
        <v>19</v>
      </c>
      <c r="F519" s="10" t="s">
        <v>10</v>
      </c>
      <c r="G519" s="11">
        <v>82.86</v>
      </c>
      <c r="H519" s="7">
        <v>1.0042</v>
      </c>
      <c r="I519" s="11">
        <f t="shared" si="12"/>
        <v>83.208012</v>
      </c>
    </row>
    <row r="520" s="1" customFormat="1" ht="23" customHeight="1" spans="1:9">
      <c r="A520" s="7" t="str">
        <f>"70010103127"</f>
        <v>70010103127</v>
      </c>
      <c r="B520" s="7" t="str">
        <f t="shared" si="11"/>
        <v>7001</v>
      </c>
      <c r="C520" s="7" t="str">
        <f>"王建淼"</f>
        <v>王建淼</v>
      </c>
      <c r="D520" s="9">
        <v>19</v>
      </c>
      <c r="E520" s="9">
        <v>20</v>
      </c>
      <c r="F520" s="10" t="s">
        <v>10</v>
      </c>
      <c r="G520" s="11">
        <v>81.3</v>
      </c>
      <c r="H520" s="7">
        <v>1.0042</v>
      </c>
      <c r="I520" s="11">
        <f t="shared" si="12"/>
        <v>81.64146</v>
      </c>
    </row>
    <row r="521" s="1" customFormat="1" ht="23" customHeight="1" spans="1:9">
      <c r="A521" s="7" t="str">
        <f>"70010103205"</f>
        <v>70010103205</v>
      </c>
      <c r="B521" s="7" t="str">
        <f t="shared" si="11"/>
        <v>7001</v>
      </c>
      <c r="C521" s="7" t="str">
        <f>"郭世雨"</f>
        <v>郭世雨</v>
      </c>
      <c r="D521" s="9">
        <v>19</v>
      </c>
      <c r="E521" s="9">
        <v>21</v>
      </c>
      <c r="F521" s="10" t="s">
        <v>10</v>
      </c>
      <c r="G521" s="11">
        <v>83.22</v>
      </c>
      <c r="H521" s="7">
        <v>1.0042</v>
      </c>
      <c r="I521" s="11">
        <f t="shared" si="12"/>
        <v>83.569524</v>
      </c>
    </row>
    <row r="522" s="1" customFormat="1" ht="23" customHeight="1" spans="1:9">
      <c r="A522" s="7" t="str">
        <f>"70010100425"</f>
        <v>70010100425</v>
      </c>
      <c r="B522" s="7" t="str">
        <f t="shared" si="11"/>
        <v>7001</v>
      </c>
      <c r="C522" s="7" t="str">
        <f>"刘攀"</f>
        <v>刘攀</v>
      </c>
      <c r="D522" s="9">
        <v>19</v>
      </c>
      <c r="E522" s="9">
        <v>22</v>
      </c>
      <c r="F522" s="10" t="s">
        <v>10</v>
      </c>
      <c r="G522" s="11">
        <v>81.14</v>
      </c>
      <c r="H522" s="7">
        <v>1.0042</v>
      </c>
      <c r="I522" s="11">
        <f t="shared" si="12"/>
        <v>81.480788</v>
      </c>
    </row>
    <row r="523" s="1" customFormat="1" ht="23" customHeight="1" spans="1:9">
      <c r="A523" s="7" t="str">
        <f>"70010104626"</f>
        <v>70010104626</v>
      </c>
      <c r="B523" s="7" t="str">
        <f t="shared" si="11"/>
        <v>7001</v>
      </c>
      <c r="C523" s="7" t="str">
        <f>"苏杭"</f>
        <v>苏杭</v>
      </c>
      <c r="D523" s="9">
        <v>19</v>
      </c>
      <c r="E523" s="9">
        <v>23</v>
      </c>
      <c r="F523" s="10" t="s">
        <v>10</v>
      </c>
      <c r="G523" s="11">
        <v>82.1</v>
      </c>
      <c r="H523" s="7">
        <v>1.0042</v>
      </c>
      <c r="I523" s="11">
        <f t="shared" si="12"/>
        <v>82.44482</v>
      </c>
    </row>
    <row r="524" s="1" customFormat="1" ht="23" customHeight="1" spans="1:9">
      <c r="A524" s="7" t="str">
        <f>"70010101112"</f>
        <v>70010101112</v>
      </c>
      <c r="B524" s="7" t="str">
        <f t="shared" si="11"/>
        <v>7001</v>
      </c>
      <c r="C524" s="7" t="str">
        <f>"郝曼"</f>
        <v>郝曼</v>
      </c>
      <c r="D524" s="9">
        <v>20</v>
      </c>
      <c r="E524" s="9">
        <v>1</v>
      </c>
      <c r="F524" s="10" t="s">
        <v>10</v>
      </c>
      <c r="G524" s="11">
        <v>83.08</v>
      </c>
      <c r="H524" s="7">
        <v>0.9959</v>
      </c>
      <c r="I524" s="11">
        <f t="shared" si="12"/>
        <v>82.739372</v>
      </c>
    </row>
    <row r="525" s="1" customFormat="1" ht="23" customHeight="1" spans="1:9">
      <c r="A525" s="7" t="str">
        <f>"70010101528"</f>
        <v>70010101528</v>
      </c>
      <c r="B525" s="7" t="str">
        <f t="shared" si="11"/>
        <v>7001</v>
      </c>
      <c r="C525" s="7" t="str">
        <f>"贾莹"</f>
        <v>贾莹</v>
      </c>
      <c r="D525" s="9">
        <v>20</v>
      </c>
      <c r="E525" s="9">
        <v>2</v>
      </c>
      <c r="F525" s="10" t="s">
        <v>10</v>
      </c>
      <c r="G525" s="11">
        <v>84.46</v>
      </c>
      <c r="H525" s="7">
        <v>0.9959</v>
      </c>
      <c r="I525" s="11">
        <f t="shared" si="12"/>
        <v>84.113714</v>
      </c>
    </row>
    <row r="526" s="1" customFormat="1" ht="23" customHeight="1" spans="1:9">
      <c r="A526" s="7" t="str">
        <f>"70010103520"</f>
        <v>70010103520</v>
      </c>
      <c r="B526" s="7" t="str">
        <f t="shared" si="11"/>
        <v>7001</v>
      </c>
      <c r="C526" s="7" t="str">
        <f>"张怡迅"</f>
        <v>张怡迅</v>
      </c>
      <c r="D526" s="9">
        <v>20</v>
      </c>
      <c r="E526" s="9">
        <v>3</v>
      </c>
      <c r="F526" s="10" t="s">
        <v>10</v>
      </c>
      <c r="G526" s="11">
        <v>82.62</v>
      </c>
      <c r="H526" s="7">
        <v>0.9959</v>
      </c>
      <c r="I526" s="11">
        <f t="shared" si="12"/>
        <v>82.281258</v>
      </c>
    </row>
    <row r="527" s="1" customFormat="1" ht="23" customHeight="1" spans="1:9">
      <c r="A527" s="7" t="str">
        <f>"70010101724"</f>
        <v>70010101724</v>
      </c>
      <c r="B527" s="7" t="str">
        <f t="shared" si="11"/>
        <v>7001</v>
      </c>
      <c r="C527" s="7" t="str">
        <f>"刘晗"</f>
        <v>刘晗</v>
      </c>
      <c r="D527" s="9">
        <v>20</v>
      </c>
      <c r="E527" s="9">
        <v>4</v>
      </c>
      <c r="F527" s="10" t="s">
        <v>10</v>
      </c>
      <c r="G527" s="11">
        <v>83.06</v>
      </c>
      <c r="H527" s="7">
        <v>0.9959</v>
      </c>
      <c r="I527" s="11">
        <f t="shared" si="12"/>
        <v>82.719454</v>
      </c>
    </row>
    <row r="528" s="1" customFormat="1" ht="23" customHeight="1" spans="1:9">
      <c r="A528" s="7" t="str">
        <f>"70010103628"</f>
        <v>70010103628</v>
      </c>
      <c r="B528" s="7" t="str">
        <f t="shared" si="11"/>
        <v>7001</v>
      </c>
      <c r="C528" s="7" t="str">
        <f>"张银晓"</f>
        <v>张银晓</v>
      </c>
      <c r="D528" s="9">
        <v>20</v>
      </c>
      <c r="E528" s="9">
        <v>5</v>
      </c>
      <c r="F528" s="10" t="s">
        <v>10</v>
      </c>
      <c r="G528" s="11">
        <v>80.32</v>
      </c>
      <c r="H528" s="7">
        <v>0.9959</v>
      </c>
      <c r="I528" s="11">
        <f t="shared" si="12"/>
        <v>79.990688</v>
      </c>
    </row>
    <row r="529" s="1" customFormat="1" ht="23" customHeight="1" spans="1:9">
      <c r="A529" s="7" t="str">
        <f>"70010102413"</f>
        <v>70010102413</v>
      </c>
      <c r="B529" s="7" t="str">
        <f t="shared" si="11"/>
        <v>7001</v>
      </c>
      <c r="C529" s="7" t="str">
        <f>"王平洋"</f>
        <v>王平洋</v>
      </c>
      <c r="D529" s="9">
        <v>20</v>
      </c>
      <c r="E529" s="9">
        <v>6</v>
      </c>
      <c r="F529" s="10" t="s">
        <v>10</v>
      </c>
      <c r="G529" s="11">
        <v>83.28</v>
      </c>
      <c r="H529" s="7">
        <v>0.9959</v>
      </c>
      <c r="I529" s="11">
        <f t="shared" si="12"/>
        <v>82.938552</v>
      </c>
    </row>
    <row r="530" s="1" customFormat="1" ht="23" customHeight="1" spans="1:9">
      <c r="A530" s="7" t="str">
        <f>"70010103004"</f>
        <v>70010103004</v>
      </c>
      <c r="B530" s="7" t="str">
        <f t="shared" si="11"/>
        <v>7001</v>
      </c>
      <c r="C530" s="7" t="str">
        <f>"慕杨柳"</f>
        <v>慕杨柳</v>
      </c>
      <c r="D530" s="9">
        <v>20</v>
      </c>
      <c r="E530" s="9">
        <v>7</v>
      </c>
      <c r="F530" s="10" t="s">
        <v>10</v>
      </c>
      <c r="G530" s="11">
        <v>83.44</v>
      </c>
      <c r="H530" s="7">
        <v>0.9959</v>
      </c>
      <c r="I530" s="11">
        <f t="shared" si="12"/>
        <v>83.097896</v>
      </c>
    </row>
    <row r="531" s="1" customFormat="1" ht="23" customHeight="1" spans="1:9">
      <c r="A531" s="7" t="str">
        <f>"70010100519"</f>
        <v>70010100519</v>
      </c>
      <c r="B531" s="7" t="str">
        <f t="shared" si="11"/>
        <v>7001</v>
      </c>
      <c r="C531" s="7" t="str">
        <f>"毛明"</f>
        <v>毛明</v>
      </c>
      <c r="D531" s="9">
        <v>20</v>
      </c>
      <c r="E531" s="9">
        <v>8</v>
      </c>
      <c r="F531" s="10" t="s">
        <v>10</v>
      </c>
      <c r="G531" s="11">
        <v>81.72</v>
      </c>
      <c r="H531" s="7">
        <v>0.9959</v>
      </c>
      <c r="I531" s="11">
        <f t="shared" si="12"/>
        <v>81.384948</v>
      </c>
    </row>
    <row r="532" s="1" customFormat="1" ht="23" customHeight="1" spans="1:9">
      <c r="A532" s="7" t="str">
        <f>"70010103602"</f>
        <v>70010103602</v>
      </c>
      <c r="B532" s="7" t="str">
        <f t="shared" si="11"/>
        <v>7001</v>
      </c>
      <c r="C532" s="7" t="str">
        <f>"赵朴"</f>
        <v>赵朴</v>
      </c>
      <c r="D532" s="9">
        <v>20</v>
      </c>
      <c r="E532" s="9">
        <v>9</v>
      </c>
      <c r="F532" s="10" t="s">
        <v>10</v>
      </c>
      <c r="G532" s="11">
        <v>83.52</v>
      </c>
      <c r="H532" s="7">
        <v>0.9959</v>
      </c>
      <c r="I532" s="11">
        <f t="shared" si="12"/>
        <v>83.177568</v>
      </c>
    </row>
    <row r="533" s="1" customFormat="1" ht="23" customHeight="1" spans="1:9">
      <c r="A533" s="7" t="str">
        <f>"70010104114"</f>
        <v>70010104114</v>
      </c>
      <c r="B533" s="7" t="str">
        <f t="shared" si="11"/>
        <v>7001</v>
      </c>
      <c r="C533" s="7" t="str">
        <f>"何思绮"</f>
        <v>何思绮</v>
      </c>
      <c r="D533" s="9">
        <v>20</v>
      </c>
      <c r="E533" s="9">
        <v>10</v>
      </c>
      <c r="F533" s="10" t="s">
        <v>10</v>
      </c>
      <c r="G533" s="11">
        <v>83.72</v>
      </c>
      <c r="H533" s="7">
        <v>0.9959</v>
      </c>
      <c r="I533" s="11">
        <f t="shared" si="12"/>
        <v>83.376748</v>
      </c>
    </row>
    <row r="534" s="1" customFormat="1" ht="23" customHeight="1" spans="1:9">
      <c r="A534" s="7" t="str">
        <f>"70010103519"</f>
        <v>70010103519</v>
      </c>
      <c r="B534" s="7" t="str">
        <f t="shared" si="11"/>
        <v>7001</v>
      </c>
      <c r="C534" s="7" t="str">
        <f>"张泓"</f>
        <v>张泓</v>
      </c>
      <c r="D534" s="9">
        <v>20</v>
      </c>
      <c r="E534" s="9">
        <v>11</v>
      </c>
      <c r="F534" s="10" t="s">
        <v>10</v>
      </c>
      <c r="G534" s="11">
        <v>80.96</v>
      </c>
      <c r="H534" s="7">
        <v>0.9959</v>
      </c>
      <c r="I534" s="11">
        <f t="shared" si="12"/>
        <v>80.628064</v>
      </c>
    </row>
    <row r="535" s="1" customFormat="1" ht="23" customHeight="1" spans="1:9">
      <c r="A535" s="7" t="str">
        <f>"70010102504"</f>
        <v>70010102504</v>
      </c>
      <c r="B535" s="7" t="str">
        <f t="shared" si="11"/>
        <v>7001</v>
      </c>
      <c r="C535" s="7" t="str">
        <f>"付佳璇"</f>
        <v>付佳璇</v>
      </c>
      <c r="D535" s="9">
        <v>20</v>
      </c>
      <c r="E535" s="9">
        <v>12</v>
      </c>
      <c r="F535" s="10" t="s">
        <v>10</v>
      </c>
      <c r="G535" s="11">
        <v>83.5</v>
      </c>
      <c r="H535" s="7">
        <v>0.9959</v>
      </c>
      <c r="I535" s="11">
        <f t="shared" si="12"/>
        <v>83.15765</v>
      </c>
    </row>
    <row r="536" s="1" customFormat="1" ht="23" customHeight="1" spans="1:9">
      <c r="A536" s="7" t="str">
        <f>"70010104107"</f>
        <v>70010104107</v>
      </c>
      <c r="B536" s="7" t="str">
        <f t="shared" si="11"/>
        <v>7001</v>
      </c>
      <c r="C536" s="7" t="str">
        <f>"李倩"</f>
        <v>李倩</v>
      </c>
      <c r="D536" s="9">
        <v>20</v>
      </c>
      <c r="E536" s="9">
        <v>13</v>
      </c>
      <c r="F536" s="10" t="s">
        <v>10</v>
      </c>
      <c r="G536" s="11">
        <v>83.08</v>
      </c>
      <c r="H536" s="7">
        <v>0.9959</v>
      </c>
      <c r="I536" s="11">
        <f t="shared" si="12"/>
        <v>82.739372</v>
      </c>
    </row>
    <row r="537" s="1" customFormat="1" ht="23" customHeight="1" spans="1:9">
      <c r="A537" s="7" t="str">
        <f>"70010102904"</f>
        <v>70010102904</v>
      </c>
      <c r="B537" s="7" t="str">
        <f t="shared" si="11"/>
        <v>7001</v>
      </c>
      <c r="C537" s="7" t="str">
        <f>"王钰淼"</f>
        <v>王钰淼</v>
      </c>
      <c r="D537" s="9">
        <v>20</v>
      </c>
      <c r="E537" s="9">
        <v>14</v>
      </c>
      <c r="F537" s="10" t="s">
        <v>10</v>
      </c>
      <c r="G537" s="11">
        <v>83.62</v>
      </c>
      <c r="H537" s="7">
        <v>0.9959</v>
      </c>
      <c r="I537" s="11">
        <f t="shared" si="12"/>
        <v>83.277158</v>
      </c>
    </row>
    <row r="538" s="1" customFormat="1" ht="23" customHeight="1" spans="1:9">
      <c r="A538" s="7" t="str">
        <f>"70010102616"</f>
        <v>70010102616</v>
      </c>
      <c r="B538" s="7" t="str">
        <f t="shared" si="11"/>
        <v>7001</v>
      </c>
      <c r="C538" s="7" t="str">
        <f>"乔云竹"</f>
        <v>乔云竹</v>
      </c>
      <c r="D538" s="9">
        <v>20</v>
      </c>
      <c r="E538" s="9">
        <v>15</v>
      </c>
      <c r="F538" s="10" t="s">
        <v>10</v>
      </c>
      <c r="G538" s="11">
        <v>83.78</v>
      </c>
      <c r="H538" s="7">
        <v>0.9959</v>
      </c>
      <c r="I538" s="11">
        <f t="shared" si="12"/>
        <v>83.436502</v>
      </c>
    </row>
    <row r="539" s="1" customFormat="1" ht="23" customHeight="1" spans="1:9">
      <c r="A539" s="7" t="str">
        <f>"70010101611"</f>
        <v>70010101611</v>
      </c>
      <c r="B539" s="7" t="str">
        <f t="shared" si="11"/>
        <v>7001</v>
      </c>
      <c r="C539" s="7" t="str">
        <f>"李南玲"</f>
        <v>李南玲</v>
      </c>
      <c r="D539" s="9">
        <v>20</v>
      </c>
      <c r="E539" s="9">
        <v>16</v>
      </c>
      <c r="F539" s="10" t="s">
        <v>10</v>
      </c>
      <c r="G539" s="11">
        <v>84.22</v>
      </c>
      <c r="H539" s="7">
        <v>0.9959</v>
      </c>
      <c r="I539" s="11">
        <f t="shared" si="12"/>
        <v>83.874698</v>
      </c>
    </row>
    <row r="540" s="1" customFormat="1" ht="23" customHeight="1" spans="1:9">
      <c r="A540" s="7" t="str">
        <f>"70010104102"</f>
        <v>70010104102</v>
      </c>
      <c r="B540" s="7" t="str">
        <f t="shared" si="11"/>
        <v>7001</v>
      </c>
      <c r="C540" s="7" t="str">
        <f>"孙乐"</f>
        <v>孙乐</v>
      </c>
      <c r="D540" s="9">
        <v>20</v>
      </c>
      <c r="E540" s="9">
        <v>17</v>
      </c>
      <c r="F540" s="10" t="s">
        <v>10</v>
      </c>
      <c r="G540" s="11">
        <v>84.08</v>
      </c>
      <c r="H540" s="7">
        <v>0.9959</v>
      </c>
      <c r="I540" s="11">
        <f t="shared" si="12"/>
        <v>83.735272</v>
      </c>
    </row>
    <row r="541" s="1" customFormat="1" ht="23" customHeight="1" spans="1:9">
      <c r="A541" s="7" t="str">
        <f>"70010101414"</f>
        <v>70010101414</v>
      </c>
      <c r="B541" s="7" t="str">
        <f t="shared" si="11"/>
        <v>7001</v>
      </c>
      <c r="C541" s="7" t="str">
        <f>"王冰"</f>
        <v>王冰</v>
      </c>
      <c r="D541" s="9">
        <v>20</v>
      </c>
      <c r="E541" s="9">
        <v>18</v>
      </c>
      <c r="F541" s="10" t="s">
        <v>10</v>
      </c>
      <c r="G541" s="11">
        <v>83.02</v>
      </c>
      <c r="H541" s="7">
        <v>0.9959</v>
      </c>
      <c r="I541" s="11">
        <f t="shared" si="12"/>
        <v>82.679618</v>
      </c>
    </row>
    <row r="542" s="1" customFormat="1" ht="23" customHeight="1" spans="1:9">
      <c r="A542" s="7" t="str">
        <f>"70010101527"</f>
        <v>70010101527</v>
      </c>
      <c r="B542" s="7" t="str">
        <f t="shared" si="11"/>
        <v>7001</v>
      </c>
      <c r="C542" s="7" t="str">
        <f>"闫珊珊"</f>
        <v>闫珊珊</v>
      </c>
      <c r="D542" s="9">
        <v>20</v>
      </c>
      <c r="E542" s="9">
        <v>19</v>
      </c>
      <c r="F542" s="10" t="s">
        <v>10</v>
      </c>
      <c r="G542" s="11">
        <v>83.22</v>
      </c>
      <c r="H542" s="7">
        <v>0.9959</v>
      </c>
      <c r="I542" s="11">
        <f t="shared" si="12"/>
        <v>82.878798</v>
      </c>
    </row>
    <row r="543" s="1" customFormat="1" ht="23" customHeight="1" spans="1:9">
      <c r="A543" s="7" t="str">
        <f>"70010103608"</f>
        <v>70010103608</v>
      </c>
      <c r="B543" s="7" t="str">
        <f t="shared" si="11"/>
        <v>7001</v>
      </c>
      <c r="C543" s="7" t="str">
        <f>"于红阳"</f>
        <v>于红阳</v>
      </c>
      <c r="D543" s="9">
        <v>20</v>
      </c>
      <c r="E543" s="9">
        <v>20</v>
      </c>
      <c r="F543" s="10" t="s">
        <v>10</v>
      </c>
      <c r="G543" s="11">
        <v>84.04</v>
      </c>
      <c r="H543" s="7">
        <v>0.9959</v>
      </c>
      <c r="I543" s="11">
        <f t="shared" si="12"/>
        <v>83.695436</v>
      </c>
    </row>
    <row r="544" s="1" customFormat="1" ht="23" customHeight="1" spans="1:9">
      <c r="A544" s="7" t="str">
        <f>"70010101323"</f>
        <v>70010101323</v>
      </c>
      <c r="B544" s="7" t="str">
        <f t="shared" si="11"/>
        <v>7001</v>
      </c>
      <c r="C544" s="7" t="str">
        <f>"冯宇"</f>
        <v>冯宇</v>
      </c>
      <c r="D544" s="9">
        <v>20</v>
      </c>
      <c r="E544" s="9">
        <v>21</v>
      </c>
      <c r="F544" s="10" t="s">
        <v>10</v>
      </c>
      <c r="G544" s="11">
        <v>84.12</v>
      </c>
      <c r="H544" s="7">
        <v>0.9959</v>
      </c>
      <c r="I544" s="11">
        <f t="shared" si="12"/>
        <v>83.775108</v>
      </c>
    </row>
    <row r="545" s="1" customFormat="1" ht="23" customHeight="1" spans="1:9">
      <c r="A545" s="7" t="str">
        <f>"70010100427"</f>
        <v>70010100427</v>
      </c>
      <c r="B545" s="7" t="str">
        <f t="shared" si="11"/>
        <v>7001</v>
      </c>
      <c r="C545" s="7" t="str">
        <f>"王滨"</f>
        <v>王滨</v>
      </c>
      <c r="D545" s="9">
        <v>20</v>
      </c>
      <c r="E545" s="9">
        <v>22</v>
      </c>
      <c r="F545" s="10" t="s">
        <v>10</v>
      </c>
      <c r="G545" s="11">
        <v>83.28</v>
      </c>
      <c r="H545" s="7">
        <v>0.9959</v>
      </c>
      <c r="I545" s="11">
        <f t="shared" si="12"/>
        <v>82.938552</v>
      </c>
    </row>
    <row r="546" s="1" customFormat="1" ht="23" customHeight="1" spans="1:9">
      <c r="A546" s="7" t="str">
        <f>"70010102919"</f>
        <v>70010102919</v>
      </c>
      <c r="B546" s="7" t="str">
        <f t="shared" si="11"/>
        <v>7001</v>
      </c>
      <c r="C546" s="7" t="str">
        <f>"尚航萁"</f>
        <v>尚航萁</v>
      </c>
      <c r="D546" s="9">
        <v>20</v>
      </c>
      <c r="E546" s="9">
        <v>23</v>
      </c>
      <c r="F546" s="10" t="s">
        <v>10</v>
      </c>
      <c r="G546" s="11">
        <v>83.04</v>
      </c>
      <c r="H546" s="7">
        <v>0.9959</v>
      </c>
      <c r="I546" s="11">
        <f t="shared" si="12"/>
        <v>82.699536</v>
      </c>
    </row>
    <row r="547" s="1" customFormat="1" ht="23" customHeight="1" spans="1:9">
      <c r="A547" s="7" t="str">
        <f>"70010102422"</f>
        <v>70010102422</v>
      </c>
      <c r="B547" s="7" t="str">
        <f t="shared" si="11"/>
        <v>7001</v>
      </c>
      <c r="C547" s="7" t="str">
        <f>"杨欣"</f>
        <v>杨欣</v>
      </c>
      <c r="D547" s="9">
        <v>20</v>
      </c>
      <c r="E547" s="9">
        <v>24</v>
      </c>
      <c r="F547" s="10" t="s">
        <v>10</v>
      </c>
      <c r="G547" s="11">
        <v>83.44</v>
      </c>
      <c r="H547" s="7">
        <v>0.9959</v>
      </c>
      <c r="I547" s="11">
        <f t="shared" si="12"/>
        <v>83.097896</v>
      </c>
    </row>
    <row r="548" s="1" customFormat="1" ht="23" customHeight="1" spans="1:9">
      <c r="A548" s="7" t="str">
        <f>"40010723401"</f>
        <v>40010723401</v>
      </c>
      <c r="B548" s="7" t="str">
        <f t="shared" ref="B548:B553" si="13">"4001"</f>
        <v>4001</v>
      </c>
      <c r="C548" s="7" t="str">
        <f>"刘亭"</f>
        <v>刘亭</v>
      </c>
      <c r="D548" s="9">
        <v>21</v>
      </c>
      <c r="E548" s="9">
        <v>1</v>
      </c>
      <c r="F548" s="10" t="s">
        <v>10</v>
      </c>
      <c r="G548" s="11">
        <v>83.28</v>
      </c>
      <c r="H548" s="7"/>
      <c r="I548" s="11">
        <v>83.28</v>
      </c>
    </row>
    <row r="549" s="1" customFormat="1" ht="23" customHeight="1" spans="1:9">
      <c r="A549" s="7" t="str">
        <f>"40010623323"</f>
        <v>40010623323</v>
      </c>
      <c r="B549" s="7" t="str">
        <f t="shared" si="13"/>
        <v>4001</v>
      </c>
      <c r="C549" s="7" t="str">
        <f>"周梦玺"</f>
        <v>周梦玺</v>
      </c>
      <c r="D549" s="9">
        <v>21</v>
      </c>
      <c r="E549" s="9">
        <v>2</v>
      </c>
      <c r="F549" s="10" t="s">
        <v>10</v>
      </c>
      <c r="G549" s="11">
        <v>82.88</v>
      </c>
      <c r="H549" s="7"/>
      <c r="I549" s="11">
        <v>82.88</v>
      </c>
    </row>
    <row r="550" s="1" customFormat="1" ht="23" customHeight="1" spans="1:9">
      <c r="A550" s="7" t="str">
        <f>"40010623320"</f>
        <v>40010623320</v>
      </c>
      <c r="B550" s="7" t="str">
        <f t="shared" si="13"/>
        <v>4001</v>
      </c>
      <c r="C550" s="7" t="str">
        <f>"来克铅"</f>
        <v>来克铅</v>
      </c>
      <c r="D550" s="9">
        <v>21</v>
      </c>
      <c r="E550" s="9">
        <v>3</v>
      </c>
      <c r="F550" s="10" t="s">
        <v>10</v>
      </c>
      <c r="G550" s="11">
        <v>81.76</v>
      </c>
      <c r="H550" s="7"/>
      <c r="I550" s="11">
        <v>81.76</v>
      </c>
    </row>
    <row r="551" s="1" customFormat="1" ht="23" customHeight="1" spans="1:9">
      <c r="A551" s="7" t="str">
        <f>"40010623321"</f>
        <v>40010623321</v>
      </c>
      <c r="B551" s="7" t="str">
        <f t="shared" si="13"/>
        <v>4001</v>
      </c>
      <c r="C551" s="7" t="str">
        <f>"杨兰兰"</f>
        <v>杨兰兰</v>
      </c>
      <c r="D551" s="9">
        <v>21</v>
      </c>
      <c r="E551" s="9">
        <v>4</v>
      </c>
      <c r="F551" s="10" t="s">
        <v>10</v>
      </c>
      <c r="G551" s="11">
        <v>82.14</v>
      </c>
      <c r="H551" s="7"/>
      <c r="I551" s="11">
        <v>82.14</v>
      </c>
    </row>
    <row r="552" s="1" customFormat="1" ht="23" customHeight="1" spans="1:9">
      <c r="A552" s="7" t="str">
        <f>"40010623318"</f>
        <v>40010623318</v>
      </c>
      <c r="B552" s="7" t="str">
        <f t="shared" si="13"/>
        <v>4001</v>
      </c>
      <c r="C552" s="7" t="str">
        <f>"李路涵"</f>
        <v>李路涵</v>
      </c>
      <c r="D552" s="9">
        <v>21</v>
      </c>
      <c r="E552" s="9">
        <v>5</v>
      </c>
      <c r="F552" s="10" t="s">
        <v>10</v>
      </c>
      <c r="G552" s="12" t="s">
        <v>12</v>
      </c>
      <c r="H552" s="7"/>
      <c r="I552" s="12" t="s">
        <v>12</v>
      </c>
    </row>
    <row r="553" s="1" customFormat="1" ht="23" customHeight="1" spans="1:9">
      <c r="A553" s="7" t="str">
        <f>"40010723410"</f>
        <v>40010723410</v>
      </c>
      <c r="B553" s="7" t="str">
        <f t="shared" si="13"/>
        <v>4001</v>
      </c>
      <c r="C553" s="7" t="str">
        <f>"李康"</f>
        <v>李康</v>
      </c>
      <c r="D553" s="9">
        <v>21</v>
      </c>
      <c r="E553" s="9">
        <v>6</v>
      </c>
      <c r="F553" s="10" t="s">
        <v>10</v>
      </c>
      <c r="G553" s="11">
        <v>81.14</v>
      </c>
      <c r="H553" s="7"/>
      <c r="I553" s="11">
        <v>81.14</v>
      </c>
    </row>
    <row r="554" s="1" customFormat="1" ht="23" customHeight="1" spans="1:9">
      <c r="A554" s="7" t="str">
        <f>"40020723510"</f>
        <v>40020723510</v>
      </c>
      <c r="B554" s="7" t="str">
        <f>"4002"</f>
        <v>4002</v>
      </c>
      <c r="C554" s="7" t="str">
        <f>"马晴"</f>
        <v>马晴</v>
      </c>
      <c r="D554" s="9">
        <v>21</v>
      </c>
      <c r="E554" s="9">
        <v>7</v>
      </c>
      <c r="F554" s="10" t="s">
        <v>10</v>
      </c>
      <c r="G554" s="11">
        <v>81.8</v>
      </c>
      <c r="H554" s="7"/>
      <c r="I554" s="11">
        <v>81.8</v>
      </c>
    </row>
    <row r="555" s="1" customFormat="1" ht="23" customHeight="1" spans="1:9">
      <c r="A555" s="7" t="str">
        <f>"40020723428"</f>
        <v>40020723428</v>
      </c>
      <c r="B555" s="7" t="str">
        <f>"4002"</f>
        <v>4002</v>
      </c>
      <c r="C555" s="7" t="str">
        <f>"王景瑞"</f>
        <v>王景瑞</v>
      </c>
      <c r="D555" s="9">
        <v>21</v>
      </c>
      <c r="E555" s="9">
        <v>8</v>
      </c>
      <c r="F555" s="10" t="s">
        <v>10</v>
      </c>
      <c r="G555" s="11">
        <v>84.84</v>
      </c>
      <c r="H555" s="7"/>
      <c r="I555" s="11">
        <v>84.84</v>
      </c>
    </row>
    <row r="556" s="1" customFormat="1" ht="23" customHeight="1" spans="1:9">
      <c r="A556" s="7" t="str">
        <f>"40020723503"</f>
        <v>40020723503</v>
      </c>
      <c r="B556" s="7" t="str">
        <f>"4002"</f>
        <v>4002</v>
      </c>
      <c r="C556" s="7" t="str">
        <f>"张晓瑞"</f>
        <v>张晓瑞</v>
      </c>
      <c r="D556" s="9">
        <v>21</v>
      </c>
      <c r="E556" s="9">
        <v>9</v>
      </c>
      <c r="F556" s="10" t="s">
        <v>10</v>
      </c>
      <c r="G556" s="11">
        <v>83.66</v>
      </c>
      <c r="H556" s="7"/>
      <c r="I556" s="11">
        <v>83.66</v>
      </c>
    </row>
    <row r="557" s="1" customFormat="1" ht="23" customHeight="1" spans="1:9">
      <c r="A557" s="7" t="str">
        <f>"40020723426"</f>
        <v>40020723426</v>
      </c>
      <c r="B557" s="7" t="str">
        <f>"4002"</f>
        <v>4002</v>
      </c>
      <c r="C557" s="7" t="str">
        <f>"张婉博"</f>
        <v>张婉博</v>
      </c>
      <c r="D557" s="9">
        <v>21</v>
      </c>
      <c r="E557" s="9">
        <v>10</v>
      </c>
      <c r="F557" s="10" t="s">
        <v>10</v>
      </c>
      <c r="G557" s="11">
        <v>83.5</v>
      </c>
      <c r="H557" s="7"/>
      <c r="I557" s="11">
        <v>83.5</v>
      </c>
    </row>
    <row r="558" s="1" customFormat="1" ht="23" customHeight="1" spans="1:9">
      <c r="A558" s="7" t="str">
        <f>"40020723516"</f>
        <v>40020723516</v>
      </c>
      <c r="B558" s="7" t="str">
        <f>"4002"</f>
        <v>4002</v>
      </c>
      <c r="C558" s="7" t="str">
        <f>"安康怡"</f>
        <v>安康怡</v>
      </c>
      <c r="D558" s="9">
        <v>21</v>
      </c>
      <c r="E558" s="9">
        <v>11</v>
      </c>
      <c r="F558" s="10" t="s">
        <v>10</v>
      </c>
      <c r="G558" s="11">
        <v>82.82</v>
      </c>
      <c r="H558" s="7"/>
      <c r="I558" s="11">
        <v>82.82</v>
      </c>
    </row>
    <row r="559" s="1" customFormat="1" ht="23" customHeight="1" spans="1:9">
      <c r="A559" s="7" t="str">
        <f>"40030723528"</f>
        <v>40030723528</v>
      </c>
      <c r="B559" s="7" t="str">
        <f t="shared" ref="B559:B564" si="14">"4003"</f>
        <v>4003</v>
      </c>
      <c r="C559" s="7" t="str">
        <f>"傅子格"</f>
        <v>傅子格</v>
      </c>
      <c r="D559" s="9">
        <v>21</v>
      </c>
      <c r="E559" s="9">
        <v>13</v>
      </c>
      <c r="F559" s="10" t="s">
        <v>10</v>
      </c>
      <c r="G559" s="11">
        <v>82.64</v>
      </c>
      <c r="H559" s="7"/>
      <c r="I559" s="11">
        <v>82.64</v>
      </c>
    </row>
    <row r="560" s="1" customFormat="1" ht="23" customHeight="1" spans="1:9">
      <c r="A560" s="7" t="str">
        <f>"40030723527"</f>
        <v>40030723527</v>
      </c>
      <c r="B560" s="7" t="str">
        <f t="shared" si="14"/>
        <v>4003</v>
      </c>
      <c r="C560" s="7" t="str">
        <f>"张楚莹"</f>
        <v>张楚莹</v>
      </c>
      <c r="D560" s="9">
        <v>21</v>
      </c>
      <c r="E560" s="9">
        <v>14</v>
      </c>
      <c r="F560" s="10" t="s">
        <v>10</v>
      </c>
      <c r="G560" s="11">
        <v>84.68</v>
      </c>
      <c r="H560" s="7"/>
      <c r="I560" s="11">
        <v>84.68</v>
      </c>
    </row>
    <row r="561" s="1" customFormat="1" ht="23" customHeight="1" spans="1:9">
      <c r="A561" s="7" t="str">
        <f>"40030723525"</f>
        <v>40030723525</v>
      </c>
      <c r="B561" s="7" t="str">
        <f t="shared" si="14"/>
        <v>4003</v>
      </c>
      <c r="C561" s="7" t="str">
        <f>"孟聪聪"</f>
        <v>孟聪聪</v>
      </c>
      <c r="D561" s="9">
        <v>21</v>
      </c>
      <c r="E561" s="9">
        <v>15</v>
      </c>
      <c r="F561" s="10" t="s">
        <v>10</v>
      </c>
      <c r="G561" s="11">
        <v>84.72</v>
      </c>
      <c r="H561" s="7"/>
      <c r="I561" s="11">
        <v>84.72</v>
      </c>
    </row>
    <row r="562" s="1" customFormat="1" ht="23" customHeight="1" spans="1:9">
      <c r="A562" s="7" t="str">
        <f>"40030723520"</f>
        <v>40030723520</v>
      </c>
      <c r="B562" s="7" t="str">
        <f t="shared" si="14"/>
        <v>4003</v>
      </c>
      <c r="C562" s="7" t="str">
        <f>"李灵涛"</f>
        <v>李灵涛</v>
      </c>
      <c r="D562" s="9">
        <v>21</v>
      </c>
      <c r="E562" s="9">
        <v>16</v>
      </c>
      <c r="F562" s="10" t="s">
        <v>10</v>
      </c>
      <c r="G562" s="11">
        <v>80.6</v>
      </c>
      <c r="H562" s="7"/>
      <c r="I562" s="11">
        <v>80.6</v>
      </c>
    </row>
    <row r="563" s="1" customFormat="1" ht="23" customHeight="1" spans="1:9">
      <c r="A563" s="7" t="str">
        <f>"40030723518"</f>
        <v>40030723518</v>
      </c>
      <c r="B563" s="7" t="str">
        <f t="shared" si="14"/>
        <v>4003</v>
      </c>
      <c r="C563" s="7" t="str">
        <f>"靳东晓"</f>
        <v>靳东晓</v>
      </c>
      <c r="D563" s="9">
        <v>21</v>
      </c>
      <c r="E563" s="9">
        <v>17</v>
      </c>
      <c r="F563" s="10" t="s">
        <v>10</v>
      </c>
      <c r="G563" s="11">
        <v>82.06</v>
      </c>
      <c r="H563" s="7"/>
      <c r="I563" s="11">
        <v>82.06</v>
      </c>
    </row>
    <row r="564" s="1" customFormat="1" ht="23" customHeight="1" spans="1:9">
      <c r="A564" s="7" t="str">
        <f>"40030723526"</f>
        <v>40030723526</v>
      </c>
      <c r="B564" s="7" t="str">
        <f t="shared" si="14"/>
        <v>4003</v>
      </c>
      <c r="C564" s="7" t="str">
        <f>"李珂"</f>
        <v>李珂</v>
      </c>
      <c r="D564" s="9">
        <v>21</v>
      </c>
      <c r="E564" s="9">
        <v>18</v>
      </c>
      <c r="F564" s="10" t="s">
        <v>10</v>
      </c>
      <c r="G564" s="11">
        <v>80.4</v>
      </c>
      <c r="H564" s="7"/>
      <c r="I564" s="11">
        <v>80.4</v>
      </c>
    </row>
    <row r="565" s="1" customFormat="1" ht="23" customHeight="1" spans="1:9">
      <c r="A565" s="7" t="str">
        <f>"40020723507"</f>
        <v>40020723507</v>
      </c>
      <c r="B565" s="7" t="str">
        <f>"4002"</f>
        <v>4002</v>
      </c>
      <c r="C565" s="7" t="str">
        <f>"李嘉雯"</f>
        <v>李嘉雯</v>
      </c>
      <c r="D565" s="9">
        <v>21</v>
      </c>
      <c r="E565" s="10" t="s">
        <v>11</v>
      </c>
      <c r="F565" s="10" t="s">
        <v>10</v>
      </c>
      <c r="G565" s="12" t="s">
        <v>11</v>
      </c>
      <c r="H565" s="7"/>
      <c r="I565" s="12" t="s">
        <v>11</v>
      </c>
    </row>
    <row r="566" s="1" customFormat="1" ht="23" customHeight="1" spans="1:9">
      <c r="A566" s="7" t="str">
        <f>"70010100221"</f>
        <v>70010100221</v>
      </c>
      <c r="B566" s="7" t="str">
        <f t="shared" ref="B566:B571" si="15">"7001"</f>
        <v>7001</v>
      </c>
      <c r="C566" s="7" t="str">
        <f>"杨鑫鑫"</f>
        <v>杨鑫鑫</v>
      </c>
      <c r="D566" s="10" t="s">
        <v>11</v>
      </c>
      <c r="E566" s="10" t="s">
        <v>11</v>
      </c>
      <c r="F566" s="10" t="s">
        <v>10</v>
      </c>
      <c r="G566" s="12" t="s">
        <v>11</v>
      </c>
      <c r="H566" s="7"/>
      <c r="I566" s="12" t="s">
        <v>11</v>
      </c>
    </row>
    <row r="567" s="1" customFormat="1" ht="23" customHeight="1" spans="1:9">
      <c r="A567" s="7" t="str">
        <f>"70010101525"</f>
        <v>70010101525</v>
      </c>
      <c r="B567" s="7" t="str">
        <f t="shared" si="15"/>
        <v>7001</v>
      </c>
      <c r="C567" s="7" t="str">
        <f>"刘玉丽"</f>
        <v>刘玉丽</v>
      </c>
      <c r="D567" s="10" t="s">
        <v>11</v>
      </c>
      <c r="E567" s="10" t="s">
        <v>11</v>
      </c>
      <c r="F567" s="10" t="s">
        <v>10</v>
      </c>
      <c r="G567" s="12" t="s">
        <v>11</v>
      </c>
      <c r="H567" s="7"/>
      <c r="I567" s="12" t="s">
        <v>11</v>
      </c>
    </row>
    <row r="568" s="1" customFormat="1" ht="23" customHeight="1" spans="1:9">
      <c r="A568" s="7" t="str">
        <f>"70010102825"</f>
        <v>70010102825</v>
      </c>
      <c r="B568" s="7" t="str">
        <f t="shared" si="15"/>
        <v>7001</v>
      </c>
      <c r="C568" s="7" t="str">
        <f>"王克璐"</f>
        <v>王克璐</v>
      </c>
      <c r="D568" s="10" t="s">
        <v>11</v>
      </c>
      <c r="E568" s="10" t="s">
        <v>11</v>
      </c>
      <c r="F568" s="10" t="s">
        <v>10</v>
      </c>
      <c r="G568" s="12" t="s">
        <v>11</v>
      </c>
      <c r="H568" s="7"/>
      <c r="I568" s="12" t="s">
        <v>11</v>
      </c>
    </row>
    <row r="569" s="1" customFormat="1" ht="23" customHeight="1" spans="1:9">
      <c r="A569" s="7" t="str">
        <f>"70010103325"</f>
        <v>70010103325</v>
      </c>
      <c r="B569" s="7" t="str">
        <f t="shared" si="15"/>
        <v>7001</v>
      </c>
      <c r="C569" s="7" t="str">
        <f>"刘艺青"</f>
        <v>刘艺青</v>
      </c>
      <c r="D569" s="10" t="s">
        <v>11</v>
      </c>
      <c r="E569" s="10" t="s">
        <v>11</v>
      </c>
      <c r="F569" s="10" t="s">
        <v>10</v>
      </c>
      <c r="G569" s="12" t="s">
        <v>11</v>
      </c>
      <c r="H569" s="7"/>
      <c r="I569" s="12" t="s">
        <v>11</v>
      </c>
    </row>
    <row r="570" s="1" customFormat="1" ht="23" customHeight="1" spans="1:9">
      <c r="A570" s="7" t="str">
        <f>"70010103426"</f>
        <v>70010103426</v>
      </c>
      <c r="B570" s="7" t="str">
        <f t="shared" si="15"/>
        <v>7001</v>
      </c>
      <c r="C570" s="7" t="str">
        <f>"曲婷婷"</f>
        <v>曲婷婷</v>
      </c>
      <c r="D570" s="10" t="s">
        <v>11</v>
      </c>
      <c r="E570" s="10" t="s">
        <v>11</v>
      </c>
      <c r="F570" s="10" t="s">
        <v>10</v>
      </c>
      <c r="G570" s="12" t="s">
        <v>11</v>
      </c>
      <c r="H570" s="7"/>
      <c r="I570" s="12" t="s">
        <v>11</v>
      </c>
    </row>
    <row r="571" s="1" customFormat="1" ht="23" customHeight="1" spans="1:9">
      <c r="A571" s="7" t="str">
        <f>"70010104630"</f>
        <v>70010104630</v>
      </c>
      <c r="B571" s="7" t="str">
        <f t="shared" si="15"/>
        <v>7001</v>
      </c>
      <c r="C571" s="7" t="str">
        <f>"方彦玉"</f>
        <v>方彦玉</v>
      </c>
      <c r="D571" s="10" t="s">
        <v>11</v>
      </c>
      <c r="E571" s="10" t="s">
        <v>11</v>
      </c>
      <c r="F571" s="10" t="s">
        <v>10</v>
      </c>
      <c r="G571" s="12" t="s">
        <v>11</v>
      </c>
      <c r="H571" s="7"/>
      <c r="I571" s="12" t="s">
        <v>11</v>
      </c>
    </row>
    <row r="572" s="1" customFormat="1" ht="23" customHeight="1" spans="1:9">
      <c r="A572" s="7" t="str">
        <f>"30010518106"</f>
        <v>30010518106</v>
      </c>
      <c r="B572" s="7" t="str">
        <f t="shared" ref="B572:B588" si="16">"3001"</f>
        <v>3001</v>
      </c>
      <c r="C572" s="7" t="str">
        <f>"孙丽"</f>
        <v>孙丽</v>
      </c>
      <c r="D572" s="7">
        <v>1</v>
      </c>
      <c r="E572" s="7">
        <v>1</v>
      </c>
      <c r="F572" s="7" t="s">
        <v>13</v>
      </c>
      <c r="G572" s="8">
        <v>80.24</v>
      </c>
      <c r="H572" s="7"/>
      <c r="I572" s="8">
        <v>80.24</v>
      </c>
    </row>
    <row r="573" s="1" customFormat="1" ht="23" customHeight="1" spans="1:9">
      <c r="A573" s="7" t="str">
        <f>"30010517909"</f>
        <v>30010517909</v>
      </c>
      <c r="B573" s="7" t="str">
        <f t="shared" si="16"/>
        <v>3001</v>
      </c>
      <c r="C573" s="7" t="str">
        <f>"陈珂"</f>
        <v>陈珂</v>
      </c>
      <c r="D573" s="7">
        <v>1</v>
      </c>
      <c r="E573" s="7">
        <v>2</v>
      </c>
      <c r="F573" s="7" t="s">
        <v>13</v>
      </c>
      <c r="G573" s="8">
        <v>82.64</v>
      </c>
      <c r="H573" s="7"/>
      <c r="I573" s="8">
        <v>82.64</v>
      </c>
    </row>
    <row r="574" s="1" customFormat="1" ht="23" customHeight="1" spans="1:9">
      <c r="A574" s="7" t="str">
        <f>"30010517914"</f>
        <v>30010517914</v>
      </c>
      <c r="B574" s="7" t="str">
        <f t="shared" si="16"/>
        <v>3001</v>
      </c>
      <c r="C574" s="7" t="str">
        <f>"何一桓"</f>
        <v>何一桓</v>
      </c>
      <c r="D574" s="7">
        <v>1</v>
      </c>
      <c r="E574" s="7">
        <v>3</v>
      </c>
      <c r="F574" s="7" t="s">
        <v>13</v>
      </c>
      <c r="G574" s="8">
        <v>84.52</v>
      </c>
      <c r="H574" s="7"/>
      <c r="I574" s="8">
        <v>84.52</v>
      </c>
    </row>
    <row r="575" s="1" customFormat="1" ht="23" customHeight="1" spans="1:9">
      <c r="A575" s="7" t="str">
        <f>"30010518502"</f>
        <v>30010518502</v>
      </c>
      <c r="B575" s="7" t="str">
        <f t="shared" si="16"/>
        <v>3001</v>
      </c>
      <c r="C575" s="7" t="str">
        <f>"张瑞敏"</f>
        <v>张瑞敏</v>
      </c>
      <c r="D575" s="7">
        <v>1</v>
      </c>
      <c r="E575" s="7">
        <v>4</v>
      </c>
      <c r="F575" s="7" t="s">
        <v>13</v>
      </c>
      <c r="G575" s="8">
        <v>83.4</v>
      </c>
      <c r="H575" s="7"/>
      <c r="I575" s="8">
        <v>83.4</v>
      </c>
    </row>
    <row r="576" s="1" customFormat="1" ht="23" customHeight="1" spans="1:9">
      <c r="A576" s="7" t="str">
        <f>"30010517329"</f>
        <v>30010517329</v>
      </c>
      <c r="B576" s="7" t="str">
        <f t="shared" si="16"/>
        <v>3001</v>
      </c>
      <c r="C576" s="7" t="str">
        <f>"王贺"</f>
        <v>王贺</v>
      </c>
      <c r="D576" s="7">
        <v>1</v>
      </c>
      <c r="E576" s="7">
        <v>5</v>
      </c>
      <c r="F576" s="7" t="s">
        <v>13</v>
      </c>
      <c r="G576" s="8">
        <v>83.1</v>
      </c>
      <c r="H576" s="7"/>
      <c r="I576" s="8">
        <v>83.1</v>
      </c>
    </row>
    <row r="577" s="1" customFormat="1" ht="23" customHeight="1" spans="1:9">
      <c r="A577" s="7" t="str">
        <f>"30010517820"</f>
        <v>30010517820</v>
      </c>
      <c r="B577" s="7" t="str">
        <f t="shared" si="16"/>
        <v>3001</v>
      </c>
      <c r="C577" s="7" t="str">
        <f>"乔露"</f>
        <v>乔露</v>
      </c>
      <c r="D577" s="7">
        <v>1</v>
      </c>
      <c r="E577" s="7">
        <v>6</v>
      </c>
      <c r="F577" s="7" t="s">
        <v>13</v>
      </c>
      <c r="G577" s="8">
        <v>82.9</v>
      </c>
      <c r="H577" s="7"/>
      <c r="I577" s="8">
        <v>82.9</v>
      </c>
    </row>
    <row r="578" s="1" customFormat="1" ht="23" customHeight="1" spans="1:9">
      <c r="A578" s="7" t="str">
        <f>"30010518101"</f>
        <v>30010518101</v>
      </c>
      <c r="B578" s="7" t="str">
        <f t="shared" si="16"/>
        <v>3001</v>
      </c>
      <c r="C578" s="7" t="str">
        <f>"刘宁华"</f>
        <v>刘宁华</v>
      </c>
      <c r="D578" s="7">
        <v>1</v>
      </c>
      <c r="E578" s="7">
        <v>7</v>
      </c>
      <c r="F578" s="7" t="s">
        <v>13</v>
      </c>
      <c r="G578" s="8">
        <v>80.72</v>
      </c>
      <c r="H578" s="7"/>
      <c r="I578" s="8">
        <v>80.72</v>
      </c>
    </row>
    <row r="579" s="1" customFormat="1" ht="23" customHeight="1" spans="1:9">
      <c r="A579" s="7" t="str">
        <f>"30010517510"</f>
        <v>30010517510</v>
      </c>
      <c r="B579" s="7" t="str">
        <f t="shared" si="16"/>
        <v>3001</v>
      </c>
      <c r="C579" s="7" t="str">
        <f>"李宁"</f>
        <v>李宁</v>
      </c>
      <c r="D579" s="7">
        <v>1</v>
      </c>
      <c r="E579" s="7">
        <v>8</v>
      </c>
      <c r="F579" s="7" t="s">
        <v>13</v>
      </c>
      <c r="G579" s="8">
        <v>82.54</v>
      </c>
      <c r="H579" s="7"/>
      <c r="I579" s="8">
        <v>82.54</v>
      </c>
    </row>
    <row r="580" s="1" customFormat="1" ht="23" customHeight="1" spans="1:9">
      <c r="A580" s="7" t="str">
        <f>"30010518404"</f>
        <v>30010518404</v>
      </c>
      <c r="B580" s="7" t="str">
        <f t="shared" si="16"/>
        <v>3001</v>
      </c>
      <c r="C580" s="7" t="str">
        <f>"袁玥华"</f>
        <v>袁玥华</v>
      </c>
      <c r="D580" s="7">
        <v>1</v>
      </c>
      <c r="E580" s="7">
        <v>9</v>
      </c>
      <c r="F580" s="7" t="s">
        <v>13</v>
      </c>
      <c r="G580" s="8">
        <v>83.46</v>
      </c>
      <c r="H580" s="7"/>
      <c r="I580" s="8">
        <v>83.46</v>
      </c>
    </row>
    <row r="581" s="1" customFormat="1" ht="23" customHeight="1" spans="1:9">
      <c r="A581" s="7" t="str">
        <f>"30010518130"</f>
        <v>30010518130</v>
      </c>
      <c r="B581" s="7" t="str">
        <f t="shared" si="16"/>
        <v>3001</v>
      </c>
      <c r="C581" s="7" t="str">
        <f>"王晗雪"</f>
        <v>王晗雪</v>
      </c>
      <c r="D581" s="7">
        <v>1</v>
      </c>
      <c r="E581" s="7">
        <v>10</v>
      </c>
      <c r="F581" s="7" t="s">
        <v>13</v>
      </c>
      <c r="G581" s="8">
        <v>83.1</v>
      </c>
      <c r="H581" s="7"/>
      <c r="I581" s="8">
        <v>83.1</v>
      </c>
    </row>
    <row r="582" s="1" customFormat="1" ht="23" customHeight="1" spans="1:9">
      <c r="A582" s="7" t="str">
        <f>"30010517306"</f>
        <v>30010517306</v>
      </c>
      <c r="B582" s="7" t="str">
        <f t="shared" si="16"/>
        <v>3001</v>
      </c>
      <c r="C582" s="7" t="str">
        <f>"薛倪"</f>
        <v>薛倪</v>
      </c>
      <c r="D582" s="7">
        <v>1</v>
      </c>
      <c r="E582" s="7">
        <v>11</v>
      </c>
      <c r="F582" s="7" t="s">
        <v>13</v>
      </c>
      <c r="G582" s="8">
        <v>83.48</v>
      </c>
      <c r="H582" s="7"/>
      <c r="I582" s="8">
        <v>83.48</v>
      </c>
    </row>
    <row r="583" s="1" customFormat="1" ht="23" customHeight="1" spans="1:9">
      <c r="A583" s="7" t="str">
        <f>"30010517716"</f>
        <v>30010517716</v>
      </c>
      <c r="B583" s="7" t="str">
        <f t="shared" si="16"/>
        <v>3001</v>
      </c>
      <c r="C583" s="7" t="str">
        <f>"郑弦"</f>
        <v>郑弦</v>
      </c>
      <c r="D583" s="7">
        <v>1</v>
      </c>
      <c r="E583" s="7">
        <v>12</v>
      </c>
      <c r="F583" s="7" t="s">
        <v>13</v>
      </c>
      <c r="G583" s="8">
        <v>83.18</v>
      </c>
      <c r="H583" s="7"/>
      <c r="I583" s="8">
        <v>83.18</v>
      </c>
    </row>
    <row r="584" s="1" customFormat="1" ht="23" customHeight="1" spans="1:9">
      <c r="A584" s="7" t="str">
        <f>"30010517416"</f>
        <v>30010517416</v>
      </c>
      <c r="B584" s="7" t="str">
        <f t="shared" si="16"/>
        <v>3001</v>
      </c>
      <c r="C584" s="7" t="str">
        <f>"田春平"</f>
        <v>田春平</v>
      </c>
      <c r="D584" s="7">
        <v>1</v>
      </c>
      <c r="E584" s="7" t="s">
        <v>11</v>
      </c>
      <c r="F584" s="7" t="s">
        <v>13</v>
      </c>
      <c r="G584" s="8" t="s">
        <v>11</v>
      </c>
      <c r="H584" s="7"/>
      <c r="I584" s="8" t="s">
        <v>11</v>
      </c>
    </row>
    <row r="585" s="1" customFormat="1" ht="23" customHeight="1" spans="1:9">
      <c r="A585" s="7" t="str">
        <f>"30010517916"</f>
        <v>30010517916</v>
      </c>
      <c r="B585" s="7" t="str">
        <f t="shared" si="16"/>
        <v>3001</v>
      </c>
      <c r="C585" s="7" t="str">
        <f>"杨金鸽"</f>
        <v>杨金鸽</v>
      </c>
      <c r="D585" s="7">
        <v>1</v>
      </c>
      <c r="E585" s="7" t="s">
        <v>11</v>
      </c>
      <c r="F585" s="7" t="s">
        <v>13</v>
      </c>
      <c r="G585" s="8" t="s">
        <v>11</v>
      </c>
      <c r="H585" s="7"/>
      <c r="I585" s="8" t="s">
        <v>11</v>
      </c>
    </row>
    <row r="586" s="1" customFormat="1" ht="23" customHeight="1" spans="1:9">
      <c r="A586" s="7" t="str">
        <f>"30010518209"</f>
        <v>30010518209</v>
      </c>
      <c r="B586" s="7" t="str">
        <f t="shared" si="16"/>
        <v>3001</v>
      </c>
      <c r="C586" s="7" t="str">
        <f>"张新玉"</f>
        <v>张新玉</v>
      </c>
      <c r="D586" s="7">
        <v>1</v>
      </c>
      <c r="E586" s="7" t="s">
        <v>11</v>
      </c>
      <c r="F586" s="7" t="s">
        <v>13</v>
      </c>
      <c r="G586" s="8" t="s">
        <v>11</v>
      </c>
      <c r="H586" s="7"/>
      <c r="I586" s="8" t="s">
        <v>11</v>
      </c>
    </row>
    <row r="587" s="1" customFormat="1" ht="23" customHeight="1" spans="1:9">
      <c r="A587" s="7" t="str">
        <f>"30010518215"</f>
        <v>30010518215</v>
      </c>
      <c r="B587" s="7" t="str">
        <f t="shared" si="16"/>
        <v>3001</v>
      </c>
      <c r="C587" s="7" t="str">
        <f>"王贤"</f>
        <v>王贤</v>
      </c>
      <c r="D587" s="7">
        <v>1</v>
      </c>
      <c r="E587" s="7" t="s">
        <v>11</v>
      </c>
      <c r="F587" s="7" t="s">
        <v>13</v>
      </c>
      <c r="G587" s="8" t="s">
        <v>11</v>
      </c>
      <c r="H587" s="7"/>
      <c r="I587" s="8" t="s">
        <v>11</v>
      </c>
    </row>
    <row r="588" s="1" customFormat="1" ht="23" customHeight="1" spans="1:9">
      <c r="A588" s="7" t="str">
        <f>"30010518314"</f>
        <v>30010518314</v>
      </c>
      <c r="B588" s="7" t="str">
        <f t="shared" si="16"/>
        <v>3001</v>
      </c>
      <c r="C588" s="7" t="str">
        <f>"范幸男"</f>
        <v>范幸男</v>
      </c>
      <c r="D588" s="7">
        <v>1</v>
      </c>
      <c r="E588" s="7" t="s">
        <v>11</v>
      </c>
      <c r="F588" s="7" t="s">
        <v>13</v>
      </c>
      <c r="G588" s="8" t="s">
        <v>11</v>
      </c>
      <c r="H588" s="7"/>
      <c r="I588" s="8" t="s">
        <v>11</v>
      </c>
    </row>
    <row r="589" s="1" customFormat="1" ht="23" customHeight="1" spans="1:9">
      <c r="A589" s="7" t="str">
        <f>"20010309826"</f>
        <v>20010309826</v>
      </c>
      <c r="B589" s="7" t="str">
        <f t="shared" ref="B589:B606" si="17">"2001"</f>
        <v>2001</v>
      </c>
      <c r="C589" s="7" t="str">
        <f>"吕洋"</f>
        <v>吕洋</v>
      </c>
      <c r="D589" s="7">
        <v>2</v>
      </c>
      <c r="E589" s="7">
        <v>1</v>
      </c>
      <c r="F589" s="7" t="s">
        <v>13</v>
      </c>
      <c r="G589" s="8">
        <v>84.62</v>
      </c>
      <c r="H589" s="7"/>
      <c r="I589" s="8">
        <v>84.62</v>
      </c>
    </row>
    <row r="590" s="1" customFormat="1" ht="23" customHeight="1" spans="1:9">
      <c r="A590" s="7" t="str">
        <f>"20010310305"</f>
        <v>20010310305</v>
      </c>
      <c r="B590" s="7" t="str">
        <f t="shared" si="17"/>
        <v>2001</v>
      </c>
      <c r="C590" s="7" t="str">
        <f>"苏芳苗"</f>
        <v>苏芳苗</v>
      </c>
      <c r="D590" s="7">
        <v>2</v>
      </c>
      <c r="E590" s="7">
        <v>2</v>
      </c>
      <c r="F590" s="7" t="s">
        <v>13</v>
      </c>
      <c r="G590" s="8">
        <v>84.46</v>
      </c>
      <c r="H590" s="7"/>
      <c r="I590" s="8">
        <v>84.46</v>
      </c>
    </row>
    <row r="591" s="1" customFormat="1" ht="23" customHeight="1" spans="1:9">
      <c r="A591" s="7" t="str">
        <f>"20010311721"</f>
        <v>20010311721</v>
      </c>
      <c r="B591" s="7" t="str">
        <f t="shared" si="17"/>
        <v>2001</v>
      </c>
      <c r="C591" s="7" t="str">
        <f>"朱康佳"</f>
        <v>朱康佳</v>
      </c>
      <c r="D591" s="7">
        <v>2</v>
      </c>
      <c r="E591" s="7">
        <v>3</v>
      </c>
      <c r="F591" s="7" t="s">
        <v>13</v>
      </c>
      <c r="G591" s="8">
        <v>84.64</v>
      </c>
      <c r="H591" s="7"/>
      <c r="I591" s="8">
        <v>84.64</v>
      </c>
    </row>
    <row r="592" s="1" customFormat="1" ht="23" customHeight="1" spans="1:9">
      <c r="A592" s="7" t="str">
        <f>"20010310213"</f>
        <v>20010310213</v>
      </c>
      <c r="B592" s="7" t="str">
        <f t="shared" si="17"/>
        <v>2001</v>
      </c>
      <c r="C592" s="7" t="str">
        <f>"李鹏玉"</f>
        <v>李鹏玉</v>
      </c>
      <c r="D592" s="7">
        <v>2</v>
      </c>
      <c r="E592" s="7">
        <v>4</v>
      </c>
      <c r="F592" s="7" t="s">
        <v>13</v>
      </c>
      <c r="G592" s="8">
        <v>83.44</v>
      </c>
      <c r="H592" s="7"/>
      <c r="I592" s="8">
        <v>83.44</v>
      </c>
    </row>
    <row r="593" s="1" customFormat="1" ht="23" customHeight="1" spans="1:9">
      <c r="A593" s="7" t="str">
        <f>"20010311104"</f>
        <v>20010311104</v>
      </c>
      <c r="B593" s="7" t="str">
        <f t="shared" si="17"/>
        <v>2001</v>
      </c>
      <c r="C593" s="7" t="str">
        <f>"周迪"</f>
        <v>周迪</v>
      </c>
      <c r="D593" s="7">
        <v>2</v>
      </c>
      <c r="E593" s="7">
        <v>5</v>
      </c>
      <c r="F593" s="7" t="s">
        <v>13</v>
      </c>
      <c r="G593" s="8">
        <v>84.06</v>
      </c>
      <c r="H593" s="7"/>
      <c r="I593" s="8">
        <v>84.06</v>
      </c>
    </row>
    <row r="594" s="1" customFormat="1" ht="23" customHeight="1" spans="1:9">
      <c r="A594" s="7" t="str">
        <f>"20010311218"</f>
        <v>20010311218</v>
      </c>
      <c r="B594" s="7" t="str">
        <f t="shared" si="17"/>
        <v>2001</v>
      </c>
      <c r="C594" s="7" t="str">
        <f>"王元倩"</f>
        <v>王元倩</v>
      </c>
      <c r="D594" s="7">
        <v>2</v>
      </c>
      <c r="E594" s="7">
        <v>6</v>
      </c>
      <c r="F594" s="7" t="s">
        <v>13</v>
      </c>
      <c r="G594" s="8">
        <v>81.84</v>
      </c>
      <c r="H594" s="7"/>
      <c r="I594" s="8">
        <v>81.84</v>
      </c>
    </row>
    <row r="595" s="1" customFormat="1" ht="23" customHeight="1" spans="1:9">
      <c r="A595" s="7" t="str">
        <f>"20010311124"</f>
        <v>20010311124</v>
      </c>
      <c r="B595" s="7" t="str">
        <f t="shared" si="17"/>
        <v>2001</v>
      </c>
      <c r="C595" s="7" t="str">
        <f>"吕彩可"</f>
        <v>吕彩可</v>
      </c>
      <c r="D595" s="7">
        <v>2</v>
      </c>
      <c r="E595" s="7">
        <v>7</v>
      </c>
      <c r="F595" s="7" t="s">
        <v>13</v>
      </c>
      <c r="G595" s="8">
        <v>84.36</v>
      </c>
      <c r="H595" s="7"/>
      <c r="I595" s="8">
        <v>84.36</v>
      </c>
    </row>
    <row r="596" s="1" customFormat="1" ht="23" customHeight="1" spans="1:9">
      <c r="A596" s="7" t="str">
        <f>"20010311211"</f>
        <v>20010311211</v>
      </c>
      <c r="B596" s="7" t="str">
        <f t="shared" si="17"/>
        <v>2001</v>
      </c>
      <c r="C596" s="7" t="str">
        <f>"李嘉欣"</f>
        <v>李嘉欣</v>
      </c>
      <c r="D596" s="7">
        <v>2</v>
      </c>
      <c r="E596" s="7">
        <v>8</v>
      </c>
      <c r="F596" s="7" t="s">
        <v>13</v>
      </c>
      <c r="G596" s="8">
        <v>84.22</v>
      </c>
      <c r="H596" s="7"/>
      <c r="I596" s="8">
        <v>84.22</v>
      </c>
    </row>
    <row r="597" s="1" customFormat="1" ht="23" customHeight="1" spans="1:9">
      <c r="A597" s="7" t="str">
        <f>"20010310015"</f>
        <v>20010310015</v>
      </c>
      <c r="B597" s="7" t="str">
        <f t="shared" si="17"/>
        <v>2001</v>
      </c>
      <c r="C597" s="7" t="str">
        <f>"张艺"</f>
        <v>张艺</v>
      </c>
      <c r="D597" s="7">
        <v>2</v>
      </c>
      <c r="E597" s="7">
        <v>9</v>
      </c>
      <c r="F597" s="7" t="s">
        <v>13</v>
      </c>
      <c r="G597" s="8">
        <v>84.5</v>
      </c>
      <c r="H597" s="7"/>
      <c r="I597" s="8">
        <v>84.5</v>
      </c>
    </row>
    <row r="598" s="1" customFormat="1" ht="23" customHeight="1" spans="1:9">
      <c r="A598" s="7" t="str">
        <f>"20010311526"</f>
        <v>20010311526</v>
      </c>
      <c r="B598" s="7" t="str">
        <f t="shared" si="17"/>
        <v>2001</v>
      </c>
      <c r="C598" s="7" t="str">
        <f>"高明阳"</f>
        <v>高明阳</v>
      </c>
      <c r="D598" s="7">
        <v>2</v>
      </c>
      <c r="E598" s="7">
        <v>10</v>
      </c>
      <c r="F598" s="7" t="s">
        <v>13</v>
      </c>
      <c r="G598" s="8">
        <v>83.88</v>
      </c>
      <c r="H598" s="7"/>
      <c r="I598" s="8">
        <v>83.88</v>
      </c>
    </row>
    <row r="599" s="1" customFormat="1" ht="23" customHeight="1" spans="1:9">
      <c r="A599" s="7" t="str">
        <f>"20010311507"</f>
        <v>20010311507</v>
      </c>
      <c r="B599" s="7" t="str">
        <f t="shared" si="17"/>
        <v>2001</v>
      </c>
      <c r="C599" s="7" t="str">
        <f>"唐若云"</f>
        <v>唐若云</v>
      </c>
      <c r="D599" s="7">
        <v>2</v>
      </c>
      <c r="E599" s="7">
        <v>11</v>
      </c>
      <c r="F599" s="7" t="s">
        <v>13</v>
      </c>
      <c r="G599" s="8">
        <v>83.98</v>
      </c>
      <c r="H599" s="7"/>
      <c r="I599" s="8">
        <v>83.98</v>
      </c>
    </row>
    <row r="600" s="1" customFormat="1" ht="23" customHeight="1" spans="1:9">
      <c r="A600" s="7" t="str">
        <f>"20010309828"</f>
        <v>20010309828</v>
      </c>
      <c r="B600" s="7" t="str">
        <f t="shared" si="17"/>
        <v>2001</v>
      </c>
      <c r="C600" s="7" t="str">
        <f>"李雪晴"</f>
        <v>李雪晴</v>
      </c>
      <c r="D600" s="7">
        <v>2</v>
      </c>
      <c r="E600" s="7">
        <v>12</v>
      </c>
      <c r="F600" s="7" t="s">
        <v>13</v>
      </c>
      <c r="G600" s="8">
        <v>82.68</v>
      </c>
      <c r="H600" s="7"/>
      <c r="I600" s="8">
        <v>82.68</v>
      </c>
    </row>
    <row r="601" s="1" customFormat="1" ht="23" customHeight="1" spans="1:9">
      <c r="A601" s="7" t="str">
        <f>"20010310821"</f>
        <v>20010310821</v>
      </c>
      <c r="B601" s="7" t="str">
        <f t="shared" si="17"/>
        <v>2001</v>
      </c>
      <c r="C601" s="7" t="str">
        <f>"王亚平"</f>
        <v>王亚平</v>
      </c>
      <c r="D601" s="7">
        <v>2</v>
      </c>
      <c r="E601" s="7">
        <v>13</v>
      </c>
      <c r="F601" s="7" t="s">
        <v>13</v>
      </c>
      <c r="G601" s="8">
        <v>83.92</v>
      </c>
      <c r="H601" s="7"/>
      <c r="I601" s="8">
        <v>83.92</v>
      </c>
    </row>
    <row r="602" s="1" customFormat="1" ht="23" customHeight="1" spans="1:9">
      <c r="A602" s="7" t="str">
        <f>"20010310329"</f>
        <v>20010310329</v>
      </c>
      <c r="B602" s="7" t="str">
        <f t="shared" si="17"/>
        <v>2001</v>
      </c>
      <c r="C602" s="7" t="str">
        <f>"张玉凤"</f>
        <v>张玉凤</v>
      </c>
      <c r="D602" s="7">
        <v>2</v>
      </c>
      <c r="E602" s="7">
        <v>14</v>
      </c>
      <c r="F602" s="7" t="s">
        <v>13</v>
      </c>
      <c r="G602" s="8">
        <v>83.62</v>
      </c>
      <c r="H602" s="7"/>
      <c r="I602" s="8">
        <v>83.62</v>
      </c>
    </row>
    <row r="603" s="1" customFormat="1" ht="23" customHeight="1" spans="1:9">
      <c r="A603" s="7" t="str">
        <f>"20010311302"</f>
        <v>20010311302</v>
      </c>
      <c r="B603" s="7" t="str">
        <f t="shared" si="17"/>
        <v>2001</v>
      </c>
      <c r="C603" s="7" t="str">
        <f>"冯婧婧"</f>
        <v>冯婧婧</v>
      </c>
      <c r="D603" s="7">
        <v>2</v>
      </c>
      <c r="E603" s="7">
        <v>15</v>
      </c>
      <c r="F603" s="7" t="s">
        <v>13</v>
      </c>
      <c r="G603" s="8">
        <v>84.06</v>
      </c>
      <c r="H603" s="7"/>
      <c r="I603" s="8">
        <v>84.06</v>
      </c>
    </row>
    <row r="604" s="1" customFormat="1" ht="23" customHeight="1" spans="1:9">
      <c r="A604" s="7" t="str">
        <f>"20010310417"</f>
        <v>20010310417</v>
      </c>
      <c r="B604" s="7" t="str">
        <f t="shared" si="17"/>
        <v>2001</v>
      </c>
      <c r="C604" s="7" t="str">
        <f>"王青"</f>
        <v>王青</v>
      </c>
      <c r="D604" s="7">
        <v>2</v>
      </c>
      <c r="E604" s="7">
        <v>16</v>
      </c>
      <c r="F604" s="7" t="s">
        <v>13</v>
      </c>
      <c r="G604" s="8">
        <v>84.14</v>
      </c>
      <c r="H604" s="7"/>
      <c r="I604" s="8">
        <v>84.14</v>
      </c>
    </row>
    <row r="605" s="1" customFormat="1" ht="23" customHeight="1" spans="1:9">
      <c r="A605" s="7" t="str">
        <f>"20010310509"</f>
        <v>20010310509</v>
      </c>
      <c r="B605" s="7" t="str">
        <f t="shared" si="17"/>
        <v>2001</v>
      </c>
      <c r="C605" s="7" t="str">
        <f>"张琳琳"</f>
        <v>张琳琳</v>
      </c>
      <c r="D605" s="7">
        <v>2</v>
      </c>
      <c r="E605" s="7">
        <v>17</v>
      </c>
      <c r="F605" s="7" t="s">
        <v>13</v>
      </c>
      <c r="G605" s="8">
        <v>83.06</v>
      </c>
      <c r="H605" s="7"/>
      <c r="I605" s="8">
        <v>83.06</v>
      </c>
    </row>
    <row r="606" s="1" customFormat="1" ht="23" customHeight="1" spans="1:9">
      <c r="A606" s="7" t="str">
        <f>"20010310001"</f>
        <v>20010310001</v>
      </c>
      <c r="B606" s="7" t="str">
        <f t="shared" si="17"/>
        <v>2001</v>
      </c>
      <c r="C606" s="7" t="str">
        <f>"鲁茜"</f>
        <v>鲁茜</v>
      </c>
      <c r="D606" s="7">
        <v>2</v>
      </c>
      <c r="E606" s="7">
        <v>18</v>
      </c>
      <c r="F606" s="7" t="s">
        <v>13</v>
      </c>
      <c r="G606" s="8">
        <v>83.9</v>
      </c>
      <c r="H606" s="7"/>
      <c r="I606" s="8">
        <v>83.9</v>
      </c>
    </row>
    <row r="607" s="1" customFormat="1" ht="23" customHeight="1" spans="1:9">
      <c r="A607" s="7" t="str">
        <f>"60010934022"</f>
        <v>60010934022</v>
      </c>
      <c r="B607" s="7" t="str">
        <f t="shared" ref="B607:B618" si="18">"6001"</f>
        <v>6001</v>
      </c>
      <c r="C607" s="7" t="str">
        <f>"袁婷婷"</f>
        <v>袁婷婷</v>
      </c>
      <c r="D607" s="7">
        <v>3</v>
      </c>
      <c r="E607" s="7">
        <v>1</v>
      </c>
      <c r="F607" s="7" t="s">
        <v>13</v>
      </c>
      <c r="G607" s="8">
        <v>84.58</v>
      </c>
      <c r="H607" s="7"/>
      <c r="I607" s="8">
        <v>84.58</v>
      </c>
    </row>
    <row r="608" s="1" customFormat="1" ht="23" customHeight="1" spans="1:9">
      <c r="A608" s="7" t="str">
        <f>"60010933730"</f>
        <v>60010933730</v>
      </c>
      <c r="B608" s="7" t="str">
        <f t="shared" si="18"/>
        <v>6001</v>
      </c>
      <c r="C608" s="7" t="str">
        <f>"袁蝶"</f>
        <v>袁蝶</v>
      </c>
      <c r="D608" s="7">
        <v>3</v>
      </c>
      <c r="E608" s="7">
        <v>2</v>
      </c>
      <c r="F608" s="7" t="s">
        <v>13</v>
      </c>
      <c r="G608" s="8">
        <v>85.38</v>
      </c>
      <c r="H608" s="7"/>
      <c r="I608" s="8">
        <v>85.38</v>
      </c>
    </row>
    <row r="609" s="1" customFormat="1" ht="23" customHeight="1" spans="1:9">
      <c r="A609" s="7" t="str">
        <f>"60010933923"</f>
        <v>60010933923</v>
      </c>
      <c r="B609" s="7" t="str">
        <f t="shared" si="18"/>
        <v>6001</v>
      </c>
      <c r="C609" s="7" t="str">
        <f>"谢丰阳"</f>
        <v>谢丰阳</v>
      </c>
      <c r="D609" s="7">
        <v>3</v>
      </c>
      <c r="E609" s="7">
        <v>3</v>
      </c>
      <c r="F609" s="7" t="s">
        <v>13</v>
      </c>
      <c r="G609" s="8">
        <v>86.08</v>
      </c>
      <c r="H609" s="7"/>
      <c r="I609" s="8">
        <v>86.08</v>
      </c>
    </row>
    <row r="610" s="1" customFormat="1" ht="23" customHeight="1" spans="1:9">
      <c r="A610" s="7" t="str">
        <f>"60010934002"</f>
        <v>60010934002</v>
      </c>
      <c r="B610" s="7" t="str">
        <f t="shared" si="18"/>
        <v>6001</v>
      </c>
      <c r="C610" s="7" t="str">
        <f>"杜文雅"</f>
        <v>杜文雅</v>
      </c>
      <c r="D610" s="7">
        <v>3</v>
      </c>
      <c r="E610" s="7">
        <v>4</v>
      </c>
      <c r="F610" s="7" t="s">
        <v>13</v>
      </c>
      <c r="G610" s="8">
        <v>86.12</v>
      </c>
      <c r="H610" s="7"/>
      <c r="I610" s="8">
        <v>86.12</v>
      </c>
    </row>
    <row r="611" s="1" customFormat="1" ht="23" customHeight="1" spans="1:9">
      <c r="A611" s="7" t="str">
        <f>"60010933927"</f>
        <v>60010933927</v>
      </c>
      <c r="B611" s="7" t="str">
        <f t="shared" si="18"/>
        <v>6001</v>
      </c>
      <c r="C611" s="7" t="str">
        <f>"李仲夏"</f>
        <v>李仲夏</v>
      </c>
      <c r="D611" s="7">
        <v>3</v>
      </c>
      <c r="E611" s="7">
        <v>5</v>
      </c>
      <c r="F611" s="7" t="s">
        <v>13</v>
      </c>
      <c r="G611" s="8">
        <v>86.18</v>
      </c>
      <c r="H611" s="7"/>
      <c r="I611" s="8">
        <v>86.18</v>
      </c>
    </row>
    <row r="612" s="1" customFormat="1" ht="23" customHeight="1" spans="1:9">
      <c r="A612" s="7" t="str">
        <f>"60010933818"</f>
        <v>60010933818</v>
      </c>
      <c r="B612" s="7" t="str">
        <f t="shared" si="18"/>
        <v>6001</v>
      </c>
      <c r="C612" s="7" t="str">
        <f>"彭雨莎"</f>
        <v>彭雨莎</v>
      </c>
      <c r="D612" s="7">
        <v>3</v>
      </c>
      <c r="E612" s="7">
        <v>6</v>
      </c>
      <c r="F612" s="7" t="s">
        <v>13</v>
      </c>
      <c r="G612" s="8">
        <v>83.96</v>
      </c>
      <c r="H612" s="7"/>
      <c r="I612" s="8">
        <v>83.96</v>
      </c>
    </row>
    <row r="613" s="1" customFormat="1" ht="23" customHeight="1" spans="1:9">
      <c r="A613" s="7" t="str">
        <f>"60010933709"</f>
        <v>60010933709</v>
      </c>
      <c r="B613" s="7" t="str">
        <f t="shared" si="18"/>
        <v>6001</v>
      </c>
      <c r="C613" s="7" t="str">
        <f>"皇甫家灵"</f>
        <v>皇甫家灵</v>
      </c>
      <c r="D613" s="7">
        <v>3</v>
      </c>
      <c r="E613" s="7">
        <v>7</v>
      </c>
      <c r="F613" s="7" t="s">
        <v>13</v>
      </c>
      <c r="G613" s="8">
        <v>82.94</v>
      </c>
      <c r="H613" s="7"/>
      <c r="I613" s="8">
        <v>82.94</v>
      </c>
    </row>
    <row r="614" s="1" customFormat="1" ht="23" customHeight="1" spans="1:9">
      <c r="A614" s="7" t="str">
        <f>"60010934004"</f>
        <v>60010934004</v>
      </c>
      <c r="B614" s="7" t="str">
        <f t="shared" si="18"/>
        <v>6001</v>
      </c>
      <c r="C614" s="7" t="str">
        <f>"张鸿洋"</f>
        <v>张鸿洋</v>
      </c>
      <c r="D614" s="7">
        <v>3</v>
      </c>
      <c r="E614" s="7">
        <v>8</v>
      </c>
      <c r="F614" s="7" t="s">
        <v>13</v>
      </c>
      <c r="G614" s="8">
        <v>84.86</v>
      </c>
      <c r="H614" s="7"/>
      <c r="I614" s="8">
        <v>84.86</v>
      </c>
    </row>
    <row r="615" s="1" customFormat="1" ht="23" customHeight="1" spans="1:9">
      <c r="A615" s="7" t="str">
        <f>"60010934102"</f>
        <v>60010934102</v>
      </c>
      <c r="B615" s="7" t="str">
        <f t="shared" si="18"/>
        <v>6001</v>
      </c>
      <c r="C615" s="7" t="str">
        <f>"蒋杉杉"</f>
        <v>蒋杉杉</v>
      </c>
      <c r="D615" s="7">
        <v>3</v>
      </c>
      <c r="E615" s="7">
        <v>9</v>
      </c>
      <c r="F615" s="7" t="s">
        <v>13</v>
      </c>
      <c r="G615" s="8">
        <v>85.66</v>
      </c>
      <c r="H615" s="7"/>
      <c r="I615" s="8">
        <v>85.66</v>
      </c>
    </row>
    <row r="616" s="1" customFormat="1" ht="23" customHeight="1" spans="1:9">
      <c r="A616" s="7" t="str">
        <f>"60010933915"</f>
        <v>60010933915</v>
      </c>
      <c r="B616" s="7" t="str">
        <f t="shared" si="18"/>
        <v>6001</v>
      </c>
      <c r="C616" s="7" t="str">
        <f>"张冬梅"</f>
        <v>张冬梅</v>
      </c>
      <c r="D616" s="7">
        <v>3</v>
      </c>
      <c r="E616" s="7">
        <v>10</v>
      </c>
      <c r="F616" s="7" t="s">
        <v>13</v>
      </c>
      <c r="G616" s="8">
        <v>84.82</v>
      </c>
      <c r="H616" s="7"/>
      <c r="I616" s="8">
        <v>84.82</v>
      </c>
    </row>
    <row r="617" s="1" customFormat="1" ht="23" customHeight="1" spans="1:9">
      <c r="A617" s="7" t="str">
        <f>"60010933830"</f>
        <v>60010933830</v>
      </c>
      <c r="B617" s="7" t="str">
        <f t="shared" si="18"/>
        <v>6001</v>
      </c>
      <c r="C617" s="7" t="str">
        <f>"焦恒岩"</f>
        <v>焦恒岩</v>
      </c>
      <c r="D617" s="7">
        <v>3</v>
      </c>
      <c r="E617" s="7">
        <v>11</v>
      </c>
      <c r="F617" s="7" t="s">
        <v>13</v>
      </c>
      <c r="G617" s="8">
        <v>84.14</v>
      </c>
      <c r="H617" s="7"/>
      <c r="I617" s="8">
        <v>84.14</v>
      </c>
    </row>
    <row r="618" s="1" customFormat="1" ht="23" customHeight="1" spans="1:9">
      <c r="A618" s="7" t="str">
        <f>"60010933809"</f>
        <v>60010933809</v>
      </c>
      <c r="B618" s="7" t="str">
        <f t="shared" si="18"/>
        <v>6001</v>
      </c>
      <c r="C618" s="7" t="str">
        <f>"蒋颖颖"</f>
        <v>蒋颖颖</v>
      </c>
      <c r="D618" s="7">
        <v>3</v>
      </c>
      <c r="E618" s="7">
        <v>12</v>
      </c>
      <c r="F618" s="7" t="s">
        <v>13</v>
      </c>
      <c r="G618" s="8">
        <v>83.86</v>
      </c>
      <c r="H618" s="7"/>
      <c r="I618" s="8">
        <v>83.86</v>
      </c>
    </row>
    <row r="619" s="1" customFormat="1" ht="23" customHeight="1" spans="1:9">
      <c r="A619" s="7" t="str">
        <f>"30020519302"</f>
        <v>30020519302</v>
      </c>
      <c r="B619" s="7" t="str">
        <f t="shared" ref="B619:B636" si="19">"3002"</f>
        <v>3002</v>
      </c>
      <c r="C619" s="7" t="str">
        <f>"王一诺"</f>
        <v>王一诺</v>
      </c>
      <c r="D619" s="7">
        <v>4</v>
      </c>
      <c r="E619" s="7">
        <v>1</v>
      </c>
      <c r="F619" s="7" t="s">
        <v>13</v>
      </c>
      <c r="G619" s="8">
        <v>83.5</v>
      </c>
      <c r="H619" s="7"/>
      <c r="I619" s="8">
        <v>83.5</v>
      </c>
    </row>
    <row r="620" s="1" customFormat="1" ht="23" customHeight="1" spans="1:9">
      <c r="A620" s="7" t="str">
        <f>"30020519219"</f>
        <v>30020519219</v>
      </c>
      <c r="B620" s="7" t="str">
        <f t="shared" si="19"/>
        <v>3002</v>
      </c>
      <c r="C620" s="7" t="str">
        <f>"司尚景"</f>
        <v>司尚景</v>
      </c>
      <c r="D620" s="7">
        <v>4</v>
      </c>
      <c r="E620" s="7">
        <v>2</v>
      </c>
      <c r="F620" s="7" t="s">
        <v>13</v>
      </c>
      <c r="G620" s="8">
        <v>85.48</v>
      </c>
      <c r="H620" s="7"/>
      <c r="I620" s="8">
        <v>85.48</v>
      </c>
    </row>
    <row r="621" s="1" customFormat="1" ht="23" customHeight="1" spans="1:9">
      <c r="A621" s="7" t="str">
        <f>"30020619420"</f>
        <v>30020619420</v>
      </c>
      <c r="B621" s="7" t="str">
        <f t="shared" si="19"/>
        <v>3002</v>
      </c>
      <c r="C621" s="7" t="str">
        <f>"李端阳"</f>
        <v>李端阳</v>
      </c>
      <c r="D621" s="7">
        <v>4</v>
      </c>
      <c r="E621" s="7">
        <v>3</v>
      </c>
      <c r="F621" s="7" t="s">
        <v>13</v>
      </c>
      <c r="G621" s="8">
        <v>82.8</v>
      </c>
      <c r="H621" s="7"/>
      <c r="I621" s="8">
        <v>82.8</v>
      </c>
    </row>
    <row r="622" s="1" customFormat="1" ht="23" customHeight="1" spans="1:9">
      <c r="A622" s="7" t="str">
        <f>"30020518928"</f>
        <v>30020518928</v>
      </c>
      <c r="B622" s="7" t="str">
        <f t="shared" si="19"/>
        <v>3002</v>
      </c>
      <c r="C622" s="7" t="str">
        <f>"李香洁"</f>
        <v>李香洁</v>
      </c>
      <c r="D622" s="7">
        <v>4</v>
      </c>
      <c r="E622" s="7">
        <v>4</v>
      </c>
      <c r="F622" s="7" t="s">
        <v>13</v>
      </c>
      <c r="G622" s="8">
        <v>83.54</v>
      </c>
      <c r="H622" s="7"/>
      <c r="I622" s="8">
        <v>83.54</v>
      </c>
    </row>
    <row r="623" s="1" customFormat="1" ht="23" customHeight="1" spans="1:9">
      <c r="A623" s="7" t="str">
        <f>"30020519315"</f>
        <v>30020519315</v>
      </c>
      <c r="B623" s="7" t="str">
        <f t="shared" si="19"/>
        <v>3002</v>
      </c>
      <c r="C623" s="7" t="str">
        <f>"王姣姣"</f>
        <v>王姣姣</v>
      </c>
      <c r="D623" s="7">
        <v>4</v>
      </c>
      <c r="E623" s="7">
        <v>5</v>
      </c>
      <c r="F623" s="7" t="s">
        <v>13</v>
      </c>
      <c r="G623" s="8">
        <v>84.16</v>
      </c>
      <c r="H623" s="7"/>
      <c r="I623" s="8">
        <v>84.16</v>
      </c>
    </row>
    <row r="624" s="1" customFormat="1" ht="23" customHeight="1" spans="1:9">
      <c r="A624" s="7" t="str">
        <f>"30020519015"</f>
        <v>30020519015</v>
      </c>
      <c r="B624" s="7" t="str">
        <f t="shared" si="19"/>
        <v>3002</v>
      </c>
      <c r="C624" s="7" t="str">
        <f>"张玉娥"</f>
        <v>张玉娥</v>
      </c>
      <c r="D624" s="7">
        <v>4</v>
      </c>
      <c r="E624" s="7">
        <v>6</v>
      </c>
      <c r="F624" s="7" t="s">
        <v>13</v>
      </c>
      <c r="G624" s="8">
        <v>83.56</v>
      </c>
      <c r="H624" s="7"/>
      <c r="I624" s="8">
        <v>83.56</v>
      </c>
    </row>
    <row r="625" s="1" customFormat="1" ht="23" customHeight="1" spans="1:9">
      <c r="A625" s="7" t="str">
        <f>"30020519026"</f>
        <v>30020519026</v>
      </c>
      <c r="B625" s="7" t="str">
        <f t="shared" si="19"/>
        <v>3002</v>
      </c>
      <c r="C625" s="7" t="str">
        <f>"谢妍"</f>
        <v>谢妍</v>
      </c>
      <c r="D625" s="7">
        <v>4</v>
      </c>
      <c r="E625" s="7">
        <v>7</v>
      </c>
      <c r="F625" s="7" t="s">
        <v>13</v>
      </c>
      <c r="G625" s="8">
        <v>83.48</v>
      </c>
      <c r="H625" s="7"/>
      <c r="I625" s="8">
        <v>83.48</v>
      </c>
    </row>
    <row r="626" s="1" customFormat="1" ht="23" customHeight="1" spans="1:9">
      <c r="A626" s="7" t="str">
        <f>"30020519106"</f>
        <v>30020519106</v>
      </c>
      <c r="B626" s="7" t="str">
        <f t="shared" si="19"/>
        <v>3002</v>
      </c>
      <c r="C626" s="7" t="str">
        <f>"裴甜梦"</f>
        <v>裴甜梦</v>
      </c>
      <c r="D626" s="7">
        <v>4</v>
      </c>
      <c r="E626" s="7">
        <v>8</v>
      </c>
      <c r="F626" s="7" t="s">
        <v>13</v>
      </c>
      <c r="G626" s="8">
        <v>82.84</v>
      </c>
      <c r="H626" s="7"/>
      <c r="I626" s="8">
        <v>82.84</v>
      </c>
    </row>
    <row r="627" s="1" customFormat="1" ht="23" customHeight="1" spans="1:9">
      <c r="A627" s="7" t="str">
        <f>"30020519102"</f>
        <v>30020519102</v>
      </c>
      <c r="B627" s="7" t="str">
        <f t="shared" si="19"/>
        <v>3002</v>
      </c>
      <c r="C627" s="7" t="str">
        <f>"王杏霜"</f>
        <v>王杏霜</v>
      </c>
      <c r="D627" s="7">
        <v>4</v>
      </c>
      <c r="E627" s="7">
        <v>9</v>
      </c>
      <c r="F627" s="7" t="s">
        <v>13</v>
      </c>
      <c r="G627" s="8">
        <v>83</v>
      </c>
      <c r="H627" s="7"/>
      <c r="I627" s="8">
        <v>83</v>
      </c>
    </row>
    <row r="628" s="1" customFormat="1" ht="23" customHeight="1" spans="1:9">
      <c r="A628" s="7" t="str">
        <f>"30020519110"</f>
        <v>30020519110</v>
      </c>
      <c r="B628" s="7" t="str">
        <f t="shared" si="19"/>
        <v>3002</v>
      </c>
      <c r="C628" s="7" t="str">
        <f>"吴子靖"</f>
        <v>吴子靖</v>
      </c>
      <c r="D628" s="7">
        <v>4</v>
      </c>
      <c r="E628" s="7">
        <v>10</v>
      </c>
      <c r="F628" s="7" t="s">
        <v>13</v>
      </c>
      <c r="G628" s="8">
        <v>84.82</v>
      </c>
      <c r="H628" s="7"/>
      <c r="I628" s="8">
        <v>84.82</v>
      </c>
    </row>
    <row r="629" s="1" customFormat="1" ht="23" customHeight="1" spans="1:9">
      <c r="A629" s="7" t="str">
        <f>"30020519113"</f>
        <v>30020519113</v>
      </c>
      <c r="B629" s="7" t="str">
        <f t="shared" si="19"/>
        <v>3002</v>
      </c>
      <c r="C629" s="7" t="str">
        <f>"武玉娇"</f>
        <v>武玉娇</v>
      </c>
      <c r="D629" s="7">
        <v>4</v>
      </c>
      <c r="E629" s="7">
        <v>11</v>
      </c>
      <c r="F629" s="7" t="s">
        <v>13</v>
      </c>
      <c r="G629" s="8">
        <v>83.64</v>
      </c>
      <c r="H629" s="7"/>
      <c r="I629" s="8">
        <v>83.64</v>
      </c>
    </row>
    <row r="630" s="1" customFormat="1" ht="23" customHeight="1" spans="1:9">
      <c r="A630" s="7" t="str">
        <f>"30020518830"</f>
        <v>30020518830</v>
      </c>
      <c r="B630" s="7" t="str">
        <f t="shared" si="19"/>
        <v>3002</v>
      </c>
      <c r="C630" s="7" t="str">
        <f>"文俊朦"</f>
        <v>文俊朦</v>
      </c>
      <c r="D630" s="7">
        <v>4</v>
      </c>
      <c r="E630" s="7">
        <v>12</v>
      </c>
      <c r="F630" s="7" t="s">
        <v>13</v>
      </c>
      <c r="G630" s="8">
        <v>82.78</v>
      </c>
      <c r="H630" s="7"/>
      <c r="I630" s="8">
        <v>82.78</v>
      </c>
    </row>
    <row r="631" s="1" customFormat="1" ht="23" customHeight="1" spans="1:9">
      <c r="A631" s="7" t="str">
        <f>"30020518829"</f>
        <v>30020518829</v>
      </c>
      <c r="B631" s="7" t="str">
        <f t="shared" si="19"/>
        <v>3002</v>
      </c>
      <c r="C631" s="7" t="str">
        <f>"孙燚"</f>
        <v>孙燚</v>
      </c>
      <c r="D631" s="7">
        <v>4</v>
      </c>
      <c r="E631" s="7">
        <v>13</v>
      </c>
      <c r="F631" s="7" t="s">
        <v>13</v>
      </c>
      <c r="G631" s="8">
        <v>83.94</v>
      </c>
      <c r="H631" s="7"/>
      <c r="I631" s="8">
        <v>83.94</v>
      </c>
    </row>
    <row r="632" s="1" customFormat="1" ht="23" customHeight="1" spans="1:9">
      <c r="A632" s="7" t="str">
        <f>"30020518521"</f>
        <v>30020518521</v>
      </c>
      <c r="B632" s="7" t="str">
        <f t="shared" si="19"/>
        <v>3002</v>
      </c>
      <c r="C632" s="7" t="str">
        <f>"仵倩"</f>
        <v>仵倩</v>
      </c>
      <c r="D632" s="7">
        <v>4</v>
      </c>
      <c r="E632" s="7">
        <v>14</v>
      </c>
      <c r="F632" s="7" t="s">
        <v>13</v>
      </c>
      <c r="G632" s="8">
        <v>83.64</v>
      </c>
      <c r="H632" s="7"/>
      <c r="I632" s="8">
        <v>83.64</v>
      </c>
    </row>
    <row r="633" s="1" customFormat="1" ht="23" customHeight="1" spans="1:9">
      <c r="A633" s="7" t="str">
        <f>"30020518630"</f>
        <v>30020518630</v>
      </c>
      <c r="B633" s="7" t="str">
        <f t="shared" si="19"/>
        <v>3002</v>
      </c>
      <c r="C633" s="7" t="str">
        <f>"谢琪玉"</f>
        <v>谢琪玉</v>
      </c>
      <c r="D633" s="7">
        <v>4</v>
      </c>
      <c r="E633" s="7">
        <v>15</v>
      </c>
      <c r="F633" s="7" t="s">
        <v>13</v>
      </c>
      <c r="G633" s="8">
        <v>84.38</v>
      </c>
      <c r="H633" s="7"/>
      <c r="I633" s="8">
        <v>84.38</v>
      </c>
    </row>
    <row r="634" s="1" customFormat="1" ht="23" customHeight="1" spans="1:9">
      <c r="A634" s="7" t="str">
        <f>"30020518918"</f>
        <v>30020518918</v>
      </c>
      <c r="B634" s="7" t="str">
        <f t="shared" si="19"/>
        <v>3002</v>
      </c>
      <c r="C634" s="7" t="str">
        <f>"张驰"</f>
        <v>张驰</v>
      </c>
      <c r="D634" s="7">
        <v>4</v>
      </c>
      <c r="E634" s="7">
        <v>16</v>
      </c>
      <c r="F634" s="7" t="s">
        <v>13</v>
      </c>
      <c r="G634" s="8">
        <v>83.24</v>
      </c>
      <c r="H634" s="7"/>
      <c r="I634" s="8">
        <v>83.24</v>
      </c>
    </row>
    <row r="635" s="1" customFormat="1" ht="23" customHeight="1" spans="1:9">
      <c r="A635" s="7" t="str">
        <f>"30020518622"</f>
        <v>30020518622</v>
      </c>
      <c r="B635" s="7" t="str">
        <f t="shared" si="19"/>
        <v>3002</v>
      </c>
      <c r="C635" s="7" t="str">
        <f>"丁甲云"</f>
        <v>丁甲云</v>
      </c>
      <c r="D635" s="7">
        <v>4</v>
      </c>
      <c r="E635" s="7">
        <v>17</v>
      </c>
      <c r="F635" s="7" t="s">
        <v>13</v>
      </c>
      <c r="G635" s="8">
        <v>83.24</v>
      </c>
      <c r="H635" s="7"/>
      <c r="I635" s="8">
        <v>83.24</v>
      </c>
    </row>
    <row r="636" s="1" customFormat="1" ht="23" customHeight="1" spans="1:9">
      <c r="A636" s="7" t="str">
        <f>"30020619416"</f>
        <v>30020619416</v>
      </c>
      <c r="B636" s="7" t="str">
        <f t="shared" si="19"/>
        <v>3002</v>
      </c>
      <c r="C636" s="7" t="str">
        <f>"何聪"</f>
        <v>何聪</v>
      </c>
      <c r="D636" s="7">
        <v>4</v>
      </c>
      <c r="E636" s="7" t="s">
        <v>11</v>
      </c>
      <c r="F636" s="7" t="s">
        <v>13</v>
      </c>
      <c r="G636" s="8" t="s">
        <v>11</v>
      </c>
      <c r="H636" s="7"/>
      <c r="I636" s="8" t="s">
        <v>11</v>
      </c>
    </row>
    <row r="637" s="1" customFormat="1" ht="23" customHeight="1" spans="1:9">
      <c r="A637" s="7" t="str">
        <f>"20020312201"</f>
        <v>20020312201</v>
      </c>
      <c r="B637" s="7" t="str">
        <f t="shared" ref="B637:B653" si="20">"2002"</f>
        <v>2002</v>
      </c>
      <c r="C637" s="7" t="str">
        <f>"王凌淳"</f>
        <v>王凌淳</v>
      </c>
      <c r="D637" s="7">
        <v>5</v>
      </c>
      <c r="E637" s="7">
        <v>1</v>
      </c>
      <c r="F637" s="7" t="s">
        <v>13</v>
      </c>
      <c r="G637" s="8">
        <v>82.64</v>
      </c>
      <c r="H637" s="7"/>
      <c r="I637" s="8">
        <v>82.64</v>
      </c>
    </row>
    <row r="638" s="1" customFormat="1" ht="23" customHeight="1" spans="1:9">
      <c r="A638" s="7" t="str">
        <f>"20020312423"</f>
        <v>20020312423</v>
      </c>
      <c r="B638" s="7" t="str">
        <f t="shared" si="20"/>
        <v>2002</v>
      </c>
      <c r="C638" s="7" t="str">
        <f>"赵庆洪"</f>
        <v>赵庆洪</v>
      </c>
      <c r="D638" s="7">
        <v>5</v>
      </c>
      <c r="E638" s="7">
        <v>2</v>
      </c>
      <c r="F638" s="7" t="s">
        <v>13</v>
      </c>
      <c r="G638" s="8">
        <v>82.1</v>
      </c>
      <c r="H638" s="7"/>
      <c r="I638" s="8">
        <v>82.1</v>
      </c>
    </row>
    <row r="639" s="1" customFormat="1" ht="23" customHeight="1" spans="1:9">
      <c r="A639" s="7" t="str">
        <f>"20020311730"</f>
        <v>20020311730</v>
      </c>
      <c r="B639" s="7" t="str">
        <f t="shared" si="20"/>
        <v>2002</v>
      </c>
      <c r="C639" s="7" t="str">
        <f>"李贺颖"</f>
        <v>李贺颖</v>
      </c>
      <c r="D639" s="7">
        <v>5</v>
      </c>
      <c r="E639" s="7">
        <v>3</v>
      </c>
      <c r="F639" s="7" t="s">
        <v>13</v>
      </c>
      <c r="G639" s="8">
        <v>83.14</v>
      </c>
      <c r="H639" s="7"/>
      <c r="I639" s="8">
        <v>83.14</v>
      </c>
    </row>
    <row r="640" s="1" customFormat="1" ht="23" customHeight="1" spans="1:9">
      <c r="A640" s="7" t="str">
        <f>"20020311830"</f>
        <v>20020311830</v>
      </c>
      <c r="B640" s="7" t="str">
        <f t="shared" si="20"/>
        <v>2002</v>
      </c>
      <c r="C640" s="7" t="str">
        <f>"徐慧爽"</f>
        <v>徐慧爽</v>
      </c>
      <c r="D640" s="7">
        <v>5</v>
      </c>
      <c r="E640" s="7">
        <v>4</v>
      </c>
      <c r="F640" s="7" t="s">
        <v>13</v>
      </c>
      <c r="G640" s="8">
        <v>82.58</v>
      </c>
      <c r="H640" s="7"/>
      <c r="I640" s="8">
        <v>82.58</v>
      </c>
    </row>
    <row r="641" s="1" customFormat="1" ht="23" customHeight="1" spans="1:9">
      <c r="A641" s="7" t="str">
        <f>"20020311902"</f>
        <v>20020311902</v>
      </c>
      <c r="B641" s="7" t="str">
        <f t="shared" si="20"/>
        <v>2002</v>
      </c>
      <c r="C641" s="7" t="str">
        <f>"李博"</f>
        <v>李博</v>
      </c>
      <c r="D641" s="7">
        <v>5</v>
      </c>
      <c r="E641" s="7">
        <v>5</v>
      </c>
      <c r="F641" s="7" t="s">
        <v>13</v>
      </c>
      <c r="G641" s="8">
        <v>83.28</v>
      </c>
      <c r="H641" s="7"/>
      <c r="I641" s="8">
        <v>83.28</v>
      </c>
    </row>
    <row r="642" s="1" customFormat="1" ht="23" customHeight="1" spans="1:9">
      <c r="A642" s="7" t="str">
        <f>"20020312319"</f>
        <v>20020312319</v>
      </c>
      <c r="B642" s="7" t="str">
        <f t="shared" si="20"/>
        <v>2002</v>
      </c>
      <c r="C642" s="7" t="str">
        <f>"丁予淼"</f>
        <v>丁予淼</v>
      </c>
      <c r="D642" s="7">
        <v>5</v>
      </c>
      <c r="E642" s="7">
        <v>6</v>
      </c>
      <c r="F642" s="7" t="s">
        <v>13</v>
      </c>
      <c r="G642" s="8">
        <v>81.64</v>
      </c>
      <c r="H642" s="7"/>
      <c r="I642" s="8">
        <v>81.64</v>
      </c>
    </row>
    <row r="643" s="1" customFormat="1" ht="23" customHeight="1" spans="1:9">
      <c r="A643" s="7" t="str">
        <f>"20020311828"</f>
        <v>20020311828</v>
      </c>
      <c r="B643" s="7" t="str">
        <f t="shared" si="20"/>
        <v>2002</v>
      </c>
      <c r="C643" s="7" t="str">
        <f>"刘媛媛"</f>
        <v>刘媛媛</v>
      </c>
      <c r="D643" s="7">
        <v>5</v>
      </c>
      <c r="E643" s="7">
        <v>7</v>
      </c>
      <c r="F643" s="7" t="s">
        <v>13</v>
      </c>
      <c r="G643" s="8">
        <v>83.22</v>
      </c>
      <c r="H643" s="7"/>
      <c r="I643" s="8">
        <v>83.22</v>
      </c>
    </row>
    <row r="644" s="1" customFormat="1" ht="23" customHeight="1" spans="1:9">
      <c r="A644" s="7" t="str">
        <f>"20020311803"</f>
        <v>20020311803</v>
      </c>
      <c r="B644" s="7" t="str">
        <f t="shared" si="20"/>
        <v>2002</v>
      </c>
      <c r="C644" s="7" t="str">
        <f>"崔娇娇"</f>
        <v>崔娇娇</v>
      </c>
      <c r="D644" s="7">
        <v>5</v>
      </c>
      <c r="E644" s="7">
        <v>8</v>
      </c>
      <c r="F644" s="7" t="s">
        <v>13</v>
      </c>
      <c r="G644" s="8">
        <v>83.06</v>
      </c>
      <c r="H644" s="7"/>
      <c r="I644" s="8">
        <v>83.06</v>
      </c>
    </row>
    <row r="645" s="1" customFormat="1" ht="23" customHeight="1" spans="1:9">
      <c r="A645" s="7" t="str">
        <f>"20020312429"</f>
        <v>20020312429</v>
      </c>
      <c r="B645" s="7" t="str">
        <f t="shared" si="20"/>
        <v>2002</v>
      </c>
      <c r="C645" s="7" t="str">
        <f>"翟嘉玲"</f>
        <v>翟嘉玲</v>
      </c>
      <c r="D645" s="7">
        <v>5</v>
      </c>
      <c r="E645" s="7">
        <v>9</v>
      </c>
      <c r="F645" s="7" t="s">
        <v>13</v>
      </c>
      <c r="G645" s="8">
        <v>82.36</v>
      </c>
      <c r="H645" s="7"/>
      <c r="I645" s="8">
        <v>82.36</v>
      </c>
    </row>
    <row r="646" s="1" customFormat="1" ht="23" customHeight="1" spans="1:9">
      <c r="A646" s="7" t="str">
        <f>"20020312719"</f>
        <v>20020312719</v>
      </c>
      <c r="B646" s="7" t="str">
        <f t="shared" si="20"/>
        <v>2002</v>
      </c>
      <c r="C646" s="7" t="str">
        <f>"胡盼"</f>
        <v>胡盼</v>
      </c>
      <c r="D646" s="7">
        <v>5</v>
      </c>
      <c r="E646" s="7">
        <v>10</v>
      </c>
      <c r="F646" s="7" t="s">
        <v>13</v>
      </c>
      <c r="G646" s="8">
        <v>83.46</v>
      </c>
      <c r="H646" s="7"/>
      <c r="I646" s="8">
        <v>83.46</v>
      </c>
    </row>
    <row r="647" s="1" customFormat="1" ht="23" customHeight="1" spans="1:9">
      <c r="A647" s="7" t="str">
        <f>"20020412802"</f>
        <v>20020412802</v>
      </c>
      <c r="B647" s="7" t="str">
        <f t="shared" si="20"/>
        <v>2002</v>
      </c>
      <c r="C647" s="7" t="str">
        <f>"李静"</f>
        <v>李静</v>
      </c>
      <c r="D647" s="7">
        <v>5</v>
      </c>
      <c r="E647" s="7">
        <v>11</v>
      </c>
      <c r="F647" s="7" t="s">
        <v>13</v>
      </c>
      <c r="G647" s="8">
        <v>82.34</v>
      </c>
      <c r="H647" s="7"/>
      <c r="I647" s="8">
        <v>82.34</v>
      </c>
    </row>
    <row r="648" s="1" customFormat="1" ht="23" customHeight="1" spans="1:9">
      <c r="A648" s="7" t="str">
        <f>"20020312727"</f>
        <v>20020312727</v>
      </c>
      <c r="B648" s="7" t="str">
        <f t="shared" si="20"/>
        <v>2002</v>
      </c>
      <c r="C648" s="7" t="str">
        <f>"李丹"</f>
        <v>李丹</v>
      </c>
      <c r="D648" s="7">
        <v>5</v>
      </c>
      <c r="E648" s="7">
        <v>12</v>
      </c>
      <c r="F648" s="7" t="s">
        <v>13</v>
      </c>
      <c r="G648" s="8">
        <v>82.6</v>
      </c>
      <c r="H648" s="7"/>
      <c r="I648" s="8">
        <v>82.6</v>
      </c>
    </row>
    <row r="649" s="1" customFormat="1" ht="23" customHeight="1" spans="1:9">
      <c r="A649" s="7" t="str">
        <f>"20020311906"</f>
        <v>20020311906</v>
      </c>
      <c r="B649" s="7" t="str">
        <f t="shared" si="20"/>
        <v>2002</v>
      </c>
      <c r="C649" s="7" t="str">
        <f>"赵艳艳"</f>
        <v>赵艳艳</v>
      </c>
      <c r="D649" s="7">
        <v>5</v>
      </c>
      <c r="E649" s="7">
        <v>13</v>
      </c>
      <c r="F649" s="7" t="s">
        <v>13</v>
      </c>
      <c r="G649" s="8">
        <v>82</v>
      </c>
      <c r="H649" s="7"/>
      <c r="I649" s="8">
        <v>82</v>
      </c>
    </row>
    <row r="650" s="1" customFormat="1" ht="23" customHeight="1" spans="1:9">
      <c r="A650" s="7" t="str">
        <f>"20020312619"</f>
        <v>20020312619</v>
      </c>
      <c r="B650" s="7" t="str">
        <f t="shared" si="20"/>
        <v>2002</v>
      </c>
      <c r="C650" s="7" t="str">
        <f>"李丹妮"</f>
        <v>李丹妮</v>
      </c>
      <c r="D650" s="7">
        <v>5</v>
      </c>
      <c r="E650" s="7">
        <v>14</v>
      </c>
      <c r="F650" s="7" t="s">
        <v>13</v>
      </c>
      <c r="G650" s="8">
        <v>83.6</v>
      </c>
      <c r="H650" s="7"/>
      <c r="I650" s="8">
        <v>83.6</v>
      </c>
    </row>
    <row r="651" s="1" customFormat="1" ht="23" customHeight="1" spans="1:9">
      <c r="A651" s="7" t="str">
        <f>"20020311806"</f>
        <v>20020311806</v>
      </c>
      <c r="B651" s="7" t="str">
        <f t="shared" si="20"/>
        <v>2002</v>
      </c>
      <c r="C651" s="7" t="str">
        <f>"张倩"</f>
        <v>张倩</v>
      </c>
      <c r="D651" s="7">
        <v>5</v>
      </c>
      <c r="E651" s="7">
        <v>15</v>
      </c>
      <c r="F651" s="7" t="s">
        <v>13</v>
      </c>
      <c r="G651" s="8">
        <v>83.5</v>
      </c>
      <c r="H651" s="7"/>
      <c r="I651" s="8">
        <v>83.5</v>
      </c>
    </row>
    <row r="652" s="1" customFormat="1" ht="23" customHeight="1" spans="1:9">
      <c r="A652" s="7" t="str">
        <f>"20020312328"</f>
        <v>20020312328</v>
      </c>
      <c r="B652" s="7" t="str">
        <f t="shared" si="20"/>
        <v>2002</v>
      </c>
      <c r="C652" s="7" t="str">
        <f>"姚芳芳"</f>
        <v>姚芳芳</v>
      </c>
      <c r="D652" s="7">
        <v>5</v>
      </c>
      <c r="E652" s="7">
        <v>16</v>
      </c>
      <c r="F652" s="7" t="s">
        <v>13</v>
      </c>
      <c r="G652" s="8">
        <v>83.34</v>
      </c>
      <c r="H652" s="7"/>
      <c r="I652" s="8">
        <v>83.34</v>
      </c>
    </row>
    <row r="653" s="1" customFormat="1" ht="23" customHeight="1" spans="1:9">
      <c r="A653" s="7" t="str">
        <f>"20020312223"</f>
        <v>20020312223</v>
      </c>
      <c r="B653" s="7" t="str">
        <f t="shared" si="20"/>
        <v>2002</v>
      </c>
      <c r="C653" s="7" t="str">
        <f>"刘庭婷"</f>
        <v>刘庭婷</v>
      </c>
      <c r="D653" s="7">
        <v>5</v>
      </c>
      <c r="E653" s="7">
        <v>17</v>
      </c>
      <c r="F653" s="7" t="s">
        <v>13</v>
      </c>
      <c r="G653" s="8">
        <v>82.24</v>
      </c>
      <c r="H653" s="7"/>
      <c r="I653" s="8">
        <v>82.24</v>
      </c>
    </row>
    <row r="654" s="1" customFormat="1" ht="23" customHeight="1" spans="1:9">
      <c r="A654" s="7" t="str">
        <f>"60020934224"</f>
        <v>60020934224</v>
      </c>
      <c r="B654" s="7" t="str">
        <f t="shared" ref="B654:B665" si="21">"6002"</f>
        <v>6002</v>
      </c>
      <c r="C654" s="7" t="str">
        <f>"王茜"</f>
        <v>王茜</v>
      </c>
      <c r="D654" s="7">
        <v>6</v>
      </c>
      <c r="E654" s="7">
        <v>1</v>
      </c>
      <c r="F654" s="7" t="s">
        <v>13</v>
      </c>
      <c r="G654" s="8">
        <v>80.32</v>
      </c>
      <c r="H654" s="7"/>
      <c r="I654" s="8">
        <v>80.32</v>
      </c>
    </row>
    <row r="655" s="1" customFormat="1" ht="23" customHeight="1" spans="1:9">
      <c r="A655" s="7" t="str">
        <f>"60020934125"</f>
        <v>60020934125</v>
      </c>
      <c r="B655" s="7" t="str">
        <f t="shared" si="21"/>
        <v>6002</v>
      </c>
      <c r="C655" s="7" t="str">
        <f>"赵志远"</f>
        <v>赵志远</v>
      </c>
      <c r="D655" s="7">
        <v>6</v>
      </c>
      <c r="E655" s="7">
        <v>2</v>
      </c>
      <c r="F655" s="7" t="s">
        <v>13</v>
      </c>
      <c r="G655" s="8">
        <v>83.58</v>
      </c>
      <c r="H655" s="7"/>
      <c r="I655" s="8">
        <v>83.58</v>
      </c>
    </row>
    <row r="656" s="1" customFormat="1" ht="23" customHeight="1" spans="1:9">
      <c r="A656" s="7" t="str">
        <f>"60020934308"</f>
        <v>60020934308</v>
      </c>
      <c r="B656" s="7" t="str">
        <f t="shared" si="21"/>
        <v>6002</v>
      </c>
      <c r="C656" s="7" t="str">
        <f>"田家怡"</f>
        <v>田家怡</v>
      </c>
      <c r="D656" s="7">
        <v>6</v>
      </c>
      <c r="E656" s="7">
        <v>3</v>
      </c>
      <c r="F656" s="7" t="s">
        <v>13</v>
      </c>
      <c r="G656" s="8">
        <v>81.16</v>
      </c>
      <c r="H656" s="7"/>
      <c r="I656" s="8">
        <v>81.16</v>
      </c>
    </row>
    <row r="657" s="1" customFormat="1" ht="23" customHeight="1" spans="1:9">
      <c r="A657" s="7" t="str">
        <f>"60020934222"</f>
        <v>60020934222</v>
      </c>
      <c r="B657" s="7" t="str">
        <f t="shared" si="21"/>
        <v>6002</v>
      </c>
      <c r="C657" s="7" t="str">
        <f>"姜宛豫"</f>
        <v>姜宛豫</v>
      </c>
      <c r="D657" s="7">
        <v>6</v>
      </c>
      <c r="E657" s="7">
        <v>4</v>
      </c>
      <c r="F657" s="7" t="s">
        <v>13</v>
      </c>
      <c r="G657" s="8">
        <v>82.9</v>
      </c>
      <c r="H657" s="7"/>
      <c r="I657" s="8">
        <v>82.9</v>
      </c>
    </row>
    <row r="658" s="1" customFormat="1" ht="23" customHeight="1" spans="1:9">
      <c r="A658" s="7" t="str">
        <f>"60020934130"</f>
        <v>60020934130</v>
      </c>
      <c r="B658" s="7" t="str">
        <f t="shared" si="21"/>
        <v>6002</v>
      </c>
      <c r="C658" s="7" t="str">
        <f>"刘云凤"</f>
        <v>刘云凤</v>
      </c>
      <c r="D658" s="7">
        <v>6</v>
      </c>
      <c r="E658" s="7">
        <v>5</v>
      </c>
      <c r="F658" s="7" t="s">
        <v>13</v>
      </c>
      <c r="G658" s="8">
        <v>81.58</v>
      </c>
      <c r="H658" s="7"/>
      <c r="I658" s="8">
        <v>81.58</v>
      </c>
    </row>
    <row r="659" s="1" customFormat="1" ht="23" customHeight="1" spans="1:9">
      <c r="A659" s="7" t="str">
        <f>"60020934309"</f>
        <v>60020934309</v>
      </c>
      <c r="B659" s="7" t="str">
        <f t="shared" si="21"/>
        <v>6002</v>
      </c>
      <c r="C659" s="7" t="str">
        <f>"马超"</f>
        <v>马超</v>
      </c>
      <c r="D659" s="7">
        <v>6</v>
      </c>
      <c r="E659" s="7">
        <v>6</v>
      </c>
      <c r="F659" s="7" t="s">
        <v>13</v>
      </c>
      <c r="G659" s="8">
        <v>82.3</v>
      </c>
      <c r="H659" s="7"/>
      <c r="I659" s="8">
        <v>82.3</v>
      </c>
    </row>
    <row r="660" s="1" customFormat="1" ht="23" customHeight="1" spans="1:9">
      <c r="A660" s="7" t="str">
        <f>"60020934316"</f>
        <v>60020934316</v>
      </c>
      <c r="B660" s="7" t="str">
        <f t="shared" si="21"/>
        <v>6002</v>
      </c>
      <c r="C660" s="7" t="str">
        <f>"杨燕"</f>
        <v>杨燕</v>
      </c>
      <c r="D660" s="7">
        <v>6</v>
      </c>
      <c r="E660" s="7">
        <v>7</v>
      </c>
      <c r="F660" s="7" t="s">
        <v>13</v>
      </c>
      <c r="G660" s="8">
        <v>83.16</v>
      </c>
      <c r="H660" s="7"/>
      <c r="I660" s="8">
        <v>83.16</v>
      </c>
    </row>
    <row r="661" s="1" customFormat="1" ht="23" customHeight="1" spans="1:9">
      <c r="A661" s="7" t="str">
        <f>"60020934207"</f>
        <v>60020934207</v>
      </c>
      <c r="B661" s="7" t="str">
        <f t="shared" si="21"/>
        <v>6002</v>
      </c>
      <c r="C661" s="7" t="str">
        <f>"涂保凤"</f>
        <v>涂保凤</v>
      </c>
      <c r="D661" s="7">
        <v>6</v>
      </c>
      <c r="E661" s="7">
        <v>8</v>
      </c>
      <c r="F661" s="7" t="s">
        <v>13</v>
      </c>
      <c r="G661" s="8">
        <v>84.46</v>
      </c>
      <c r="H661" s="7"/>
      <c r="I661" s="8">
        <v>84.46</v>
      </c>
    </row>
    <row r="662" s="1" customFormat="1" ht="23" customHeight="1" spans="1:9">
      <c r="A662" s="7" t="str">
        <f>"60020934223"</f>
        <v>60020934223</v>
      </c>
      <c r="B662" s="7" t="str">
        <f t="shared" si="21"/>
        <v>6002</v>
      </c>
      <c r="C662" s="7" t="str">
        <f>"赵付九"</f>
        <v>赵付九</v>
      </c>
      <c r="D662" s="7">
        <v>6</v>
      </c>
      <c r="E662" s="7">
        <v>9</v>
      </c>
      <c r="F662" s="7" t="s">
        <v>13</v>
      </c>
      <c r="G662" s="8">
        <v>82.98</v>
      </c>
      <c r="H662" s="7"/>
      <c r="I662" s="8">
        <v>82.98</v>
      </c>
    </row>
    <row r="663" s="1" customFormat="1" ht="23" customHeight="1" spans="1:9">
      <c r="A663" s="7" t="str">
        <f>"60020934304"</f>
        <v>60020934304</v>
      </c>
      <c r="B663" s="7" t="str">
        <f t="shared" si="21"/>
        <v>6002</v>
      </c>
      <c r="C663" s="7" t="str">
        <f>"王国敏"</f>
        <v>王国敏</v>
      </c>
      <c r="D663" s="7">
        <v>6</v>
      </c>
      <c r="E663" s="7">
        <v>10</v>
      </c>
      <c r="F663" s="7" t="s">
        <v>13</v>
      </c>
      <c r="G663" s="8">
        <v>82.3</v>
      </c>
      <c r="H663" s="7"/>
      <c r="I663" s="8">
        <v>82.3</v>
      </c>
    </row>
    <row r="664" s="1" customFormat="1" ht="23" customHeight="1" spans="1:9">
      <c r="A664" s="7" t="str">
        <f>"60020934217"</f>
        <v>60020934217</v>
      </c>
      <c r="B664" s="7" t="str">
        <f t="shared" si="21"/>
        <v>6002</v>
      </c>
      <c r="C664" s="7" t="str">
        <f>"沈玉玲"</f>
        <v>沈玉玲</v>
      </c>
      <c r="D664" s="7">
        <v>6</v>
      </c>
      <c r="E664" s="7">
        <v>11</v>
      </c>
      <c r="F664" s="7" t="s">
        <v>13</v>
      </c>
      <c r="G664" s="8">
        <v>80.6</v>
      </c>
      <c r="H664" s="7"/>
      <c r="I664" s="8">
        <v>80.6</v>
      </c>
    </row>
    <row r="665" s="1" customFormat="1" ht="23" customHeight="1" spans="1:9">
      <c r="A665" s="7" t="str">
        <f>"60020934218"</f>
        <v>60020934218</v>
      </c>
      <c r="B665" s="7" t="str">
        <f t="shared" si="21"/>
        <v>6002</v>
      </c>
      <c r="C665" s="7" t="str">
        <f>"王怡"</f>
        <v>王怡</v>
      </c>
      <c r="D665" s="7">
        <v>6</v>
      </c>
      <c r="E665" s="7">
        <v>12</v>
      </c>
      <c r="F665" s="7" t="s">
        <v>13</v>
      </c>
      <c r="G665" s="8">
        <v>81.78</v>
      </c>
      <c r="H665" s="7"/>
      <c r="I665" s="8">
        <v>81.78</v>
      </c>
    </row>
    <row r="666" s="1" customFormat="1" ht="23" customHeight="1" spans="1:9">
      <c r="A666" s="7" t="str">
        <f>"10140209615"</f>
        <v>10140209615</v>
      </c>
      <c r="B666" s="7" t="str">
        <f t="shared" ref="B666:B674" si="22">"1014"</f>
        <v>1014</v>
      </c>
      <c r="C666" s="7" t="str">
        <f>"杨晓星"</f>
        <v>杨晓星</v>
      </c>
      <c r="D666" s="7">
        <v>7</v>
      </c>
      <c r="E666" s="7">
        <v>1</v>
      </c>
      <c r="F666" s="7" t="s">
        <v>13</v>
      </c>
      <c r="G666" s="8">
        <v>80.46</v>
      </c>
      <c r="H666" s="7"/>
      <c r="I666" s="8">
        <v>80.46</v>
      </c>
    </row>
    <row r="667" s="1" customFormat="1" ht="23" customHeight="1" spans="1:9">
      <c r="A667" s="7" t="str">
        <f>"10140309809"</f>
        <v>10140309809</v>
      </c>
      <c r="B667" s="7" t="str">
        <f t="shared" si="22"/>
        <v>1014</v>
      </c>
      <c r="C667" s="7" t="str">
        <f>"郭妍"</f>
        <v>郭妍</v>
      </c>
      <c r="D667" s="7">
        <v>7</v>
      </c>
      <c r="E667" s="7">
        <v>2</v>
      </c>
      <c r="F667" s="7" t="s">
        <v>13</v>
      </c>
      <c r="G667" s="8">
        <v>82.8</v>
      </c>
      <c r="H667" s="7"/>
      <c r="I667" s="8">
        <v>82.8</v>
      </c>
    </row>
    <row r="668" s="1" customFormat="1" ht="23" customHeight="1" spans="1:9">
      <c r="A668" s="7" t="str">
        <f>"10140309806"</f>
        <v>10140309806</v>
      </c>
      <c r="B668" s="7" t="str">
        <f t="shared" si="22"/>
        <v>1014</v>
      </c>
      <c r="C668" s="7" t="str">
        <f>"李家熠"</f>
        <v>李家熠</v>
      </c>
      <c r="D668" s="7">
        <v>7</v>
      </c>
      <c r="E668" s="7">
        <v>3</v>
      </c>
      <c r="F668" s="7" t="s">
        <v>13</v>
      </c>
      <c r="G668" s="8">
        <v>83.72</v>
      </c>
      <c r="H668" s="7"/>
      <c r="I668" s="8">
        <v>83.72</v>
      </c>
    </row>
    <row r="669" s="1" customFormat="1" ht="23" customHeight="1" spans="1:9">
      <c r="A669" s="7" t="str">
        <f>"10140209430"</f>
        <v>10140209430</v>
      </c>
      <c r="B669" s="7" t="str">
        <f t="shared" si="22"/>
        <v>1014</v>
      </c>
      <c r="C669" s="7" t="str">
        <f>"曾清源"</f>
        <v>曾清源</v>
      </c>
      <c r="D669" s="7">
        <v>7</v>
      </c>
      <c r="E669" s="7">
        <v>4</v>
      </c>
      <c r="F669" s="7" t="s">
        <v>13</v>
      </c>
      <c r="G669" s="8">
        <v>83.5</v>
      </c>
      <c r="H669" s="7"/>
      <c r="I669" s="8">
        <v>83.5</v>
      </c>
    </row>
    <row r="670" s="1" customFormat="1" ht="23" customHeight="1" spans="1:9">
      <c r="A670" s="7" t="str">
        <f>"10140209621"</f>
        <v>10140209621</v>
      </c>
      <c r="B670" s="7" t="str">
        <f t="shared" si="22"/>
        <v>1014</v>
      </c>
      <c r="C670" s="7" t="str">
        <f>"左馨"</f>
        <v>左馨</v>
      </c>
      <c r="D670" s="7">
        <v>7</v>
      </c>
      <c r="E670" s="7">
        <v>5</v>
      </c>
      <c r="F670" s="7" t="s">
        <v>13</v>
      </c>
      <c r="G670" s="8">
        <v>82.64</v>
      </c>
      <c r="H670" s="7"/>
      <c r="I670" s="8">
        <v>82.64</v>
      </c>
    </row>
    <row r="671" s="1" customFormat="1" ht="23" customHeight="1" spans="1:9">
      <c r="A671" s="7" t="str">
        <f>"10140209609"</f>
        <v>10140209609</v>
      </c>
      <c r="B671" s="7" t="str">
        <f t="shared" si="22"/>
        <v>1014</v>
      </c>
      <c r="C671" s="7" t="str">
        <f>"郝梦瑶"</f>
        <v>郝梦瑶</v>
      </c>
      <c r="D671" s="7">
        <v>7</v>
      </c>
      <c r="E671" s="7">
        <v>6</v>
      </c>
      <c r="F671" s="7" t="s">
        <v>13</v>
      </c>
      <c r="G671" s="8">
        <v>82.84</v>
      </c>
      <c r="H671" s="7"/>
      <c r="I671" s="8">
        <v>82.84</v>
      </c>
    </row>
    <row r="672" s="1" customFormat="1" ht="23" customHeight="1" spans="1:9">
      <c r="A672" s="7" t="str">
        <f>"10140309724"</f>
        <v>10140309724</v>
      </c>
      <c r="B672" s="7" t="str">
        <f t="shared" si="22"/>
        <v>1014</v>
      </c>
      <c r="C672" s="7" t="str">
        <f>"周玫孜"</f>
        <v>周玫孜</v>
      </c>
      <c r="D672" s="7">
        <v>7</v>
      </c>
      <c r="E672" s="7">
        <v>7</v>
      </c>
      <c r="F672" s="7" t="s">
        <v>13</v>
      </c>
      <c r="G672" s="8">
        <v>83.06</v>
      </c>
      <c r="H672" s="7"/>
      <c r="I672" s="8">
        <v>83.06</v>
      </c>
    </row>
    <row r="673" s="1" customFormat="1" ht="23" customHeight="1" spans="1:9">
      <c r="A673" s="7" t="str">
        <f>"10140309808"</f>
        <v>10140309808</v>
      </c>
      <c r="B673" s="7" t="str">
        <f t="shared" si="22"/>
        <v>1014</v>
      </c>
      <c r="C673" s="7" t="str">
        <f>"曹炳阳"</f>
        <v>曹炳阳</v>
      </c>
      <c r="D673" s="7">
        <v>7</v>
      </c>
      <c r="E673" s="7">
        <v>8</v>
      </c>
      <c r="F673" s="7" t="s">
        <v>13</v>
      </c>
      <c r="G673" s="8">
        <v>82.6</v>
      </c>
      <c r="H673" s="7"/>
      <c r="I673" s="8">
        <v>82.6</v>
      </c>
    </row>
    <row r="674" s="1" customFormat="1" ht="23" customHeight="1" spans="1:9">
      <c r="A674" s="7" t="str">
        <f>"10140209612"</f>
        <v>10140209612</v>
      </c>
      <c r="B674" s="7" t="str">
        <f t="shared" si="22"/>
        <v>1014</v>
      </c>
      <c r="C674" s="7" t="str">
        <f>"姬玉洁"</f>
        <v>姬玉洁</v>
      </c>
      <c r="D674" s="7">
        <v>7</v>
      </c>
      <c r="E674" s="7">
        <v>9</v>
      </c>
      <c r="F674" s="7" t="s">
        <v>13</v>
      </c>
      <c r="G674" s="8">
        <v>82.34</v>
      </c>
      <c r="H674" s="7"/>
      <c r="I674" s="8">
        <v>82.34</v>
      </c>
    </row>
    <row r="675" s="1" customFormat="1" ht="23" customHeight="1" spans="1:9">
      <c r="A675" s="7" t="str">
        <f>"10030206511"</f>
        <v>10030206511</v>
      </c>
      <c r="B675" s="7" t="str">
        <f t="shared" ref="B675:B691" si="23">"1003"</f>
        <v>1003</v>
      </c>
      <c r="C675" s="7" t="str">
        <f>"丁洛羽"</f>
        <v>丁洛羽</v>
      </c>
      <c r="D675" s="7">
        <v>8</v>
      </c>
      <c r="E675" s="7">
        <v>1</v>
      </c>
      <c r="F675" s="7" t="s">
        <v>13</v>
      </c>
      <c r="G675" s="8">
        <v>83.76</v>
      </c>
      <c r="H675" s="7"/>
      <c r="I675" s="8">
        <v>83.76</v>
      </c>
    </row>
    <row r="676" s="1" customFormat="1" ht="23" customHeight="1" spans="1:9">
      <c r="A676" s="7" t="str">
        <f>"10030206609"</f>
        <v>10030206609</v>
      </c>
      <c r="B676" s="7" t="str">
        <f t="shared" si="23"/>
        <v>1003</v>
      </c>
      <c r="C676" s="7" t="str">
        <f>"赵雅娉"</f>
        <v>赵雅娉</v>
      </c>
      <c r="D676" s="7">
        <v>8</v>
      </c>
      <c r="E676" s="7">
        <v>2</v>
      </c>
      <c r="F676" s="7" t="s">
        <v>13</v>
      </c>
      <c r="G676" s="8">
        <v>81.62</v>
      </c>
      <c r="H676" s="7"/>
      <c r="I676" s="8">
        <v>81.62</v>
      </c>
    </row>
    <row r="677" s="1" customFormat="1" ht="23" customHeight="1" spans="1:9">
      <c r="A677" s="7" t="str">
        <f>"10030206629"</f>
        <v>10030206629</v>
      </c>
      <c r="B677" s="7" t="str">
        <f t="shared" si="23"/>
        <v>1003</v>
      </c>
      <c r="C677" s="7" t="str">
        <f>"邢亚欣"</f>
        <v>邢亚欣</v>
      </c>
      <c r="D677" s="7">
        <v>8</v>
      </c>
      <c r="E677" s="7">
        <v>3</v>
      </c>
      <c r="F677" s="7" t="s">
        <v>13</v>
      </c>
      <c r="G677" s="8">
        <v>83.76</v>
      </c>
      <c r="H677" s="7"/>
      <c r="I677" s="8">
        <v>83.76</v>
      </c>
    </row>
    <row r="678" s="1" customFormat="1" ht="23" customHeight="1" spans="1:9">
      <c r="A678" s="7" t="str">
        <f>"10030206811"</f>
        <v>10030206811</v>
      </c>
      <c r="B678" s="7" t="str">
        <f t="shared" si="23"/>
        <v>1003</v>
      </c>
      <c r="C678" s="7" t="str">
        <f>"李德生"</f>
        <v>李德生</v>
      </c>
      <c r="D678" s="7">
        <v>8</v>
      </c>
      <c r="E678" s="7">
        <v>4</v>
      </c>
      <c r="F678" s="7" t="s">
        <v>13</v>
      </c>
      <c r="G678" s="8">
        <v>82.34</v>
      </c>
      <c r="H678" s="7"/>
      <c r="I678" s="8">
        <v>82.34</v>
      </c>
    </row>
    <row r="679" s="1" customFormat="1" ht="23" customHeight="1" spans="1:9">
      <c r="A679" s="7" t="str">
        <f>"10030206214"</f>
        <v>10030206214</v>
      </c>
      <c r="B679" s="7" t="str">
        <f t="shared" si="23"/>
        <v>1003</v>
      </c>
      <c r="C679" s="7" t="str">
        <f>"毕曼玉"</f>
        <v>毕曼玉</v>
      </c>
      <c r="D679" s="7">
        <v>8</v>
      </c>
      <c r="E679" s="7">
        <v>5</v>
      </c>
      <c r="F679" s="7" t="s">
        <v>13</v>
      </c>
      <c r="G679" s="8">
        <v>83.32</v>
      </c>
      <c r="H679" s="7"/>
      <c r="I679" s="8">
        <v>83.32</v>
      </c>
    </row>
    <row r="680" s="1" customFormat="1" ht="23" customHeight="1" spans="1:9">
      <c r="A680" s="7" t="str">
        <f>"10030206615"</f>
        <v>10030206615</v>
      </c>
      <c r="B680" s="7" t="str">
        <f t="shared" si="23"/>
        <v>1003</v>
      </c>
      <c r="C680" s="7" t="str">
        <f>"周蕾"</f>
        <v>周蕾</v>
      </c>
      <c r="D680" s="7">
        <v>8</v>
      </c>
      <c r="E680" s="7">
        <v>6</v>
      </c>
      <c r="F680" s="7" t="s">
        <v>13</v>
      </c>
      <c r="G680" s="8">
        <v>83.62</v>
      </c>
      <c r="H680" s="7"/>
      <c r="I680" s="8">
        <v>83.62</v>
      </c>
    </row>
    <row r="681" s="1" customFormat="1" ht="23" customHeight="1" spans="1:9">
      <c r="A681" s="7" t="str">
        <f>"10030206803"</f>
        <v>10030206803</v>
      </c>
      <c r="B681" s="7" t="str">
        <f t="shared" si="23"/>
        <v>1003</v>
      </c>
      <c r="C681" s="7" t="str">
        <f>"张雪"</f>
        <v>张雪</v>
      </c>
      <c r="D681" s="7">
        <v>8</v>
      </c>
      <c r="E681" s="7">
        <v>7</v>
      </c>
      <c r="F681" s="7" t="s">
        <v>13</v>
      </c>
      <c r="G681" s="8">
        <v>81.64</v>
      </c>
      <c r="H681" s="7"/>
      <c r="I681" s="8">
        <v>81.64</v>
      </c>
    </row>
    <row r="682" s="1" customFormat="1" ht="23" customHeight="1" spans="1:9">
      <c r="A682" s="7" t="str">
        <f>"10030206604"</f>
        <v>10030206604</v>
      </c>
      <c r="B682" s="7" t="str">
        <f t="shared" si="23"/>
        <v>1003</v>
      </c>
      <c r="C682" s="7" t="str">
        <f>"刘阳"</f>
        <v>刘阳</v>
      </c>
      <c r="D682" s="7">
        <v>8</v>
      </c>
      <c r="E682" s="7">
        <v>8</v>
      </c>
      <c r="F682" s="7" t="s">
        <v>13</v>
      </c>
      <c r="G682" s="8">
        <v>82.78</v>
      </c>
      <c r="H682" s="7"/>
      <c r="I682" s="8">
        <v>82.78</v>
      </c>
    </row>
    <row r="683" s="1" customFormat="1" ht="23" customHeight="1" spans="1:9">
      <c r="A683" s="7" t="str">
        <f>"10030206612"</f>
        <v>10030206612</v>
      </c>
      <c r="B683" s="7" t="str">
        <f t="shared" si="23"/>
        <v>1003</v>
      </c>
      <c r="C683" s="7" t="str">
        <f>"陈朋"</f>
        <v>陈朋</v>
      </c>
      <c r="D683" s="7">
        <v>8</v>
      </c>
      <c r="E683" s="7">
        <v>9</v>
      </c>
      <c r="F683" s="7" t="s">
        <v>13</v>
      </c>
      <c r="G683" s="8">
        <v>82.02</v>
      </c>
      <c r="H683" s="7"/>
      <c r="I683" s="8">
        <v>82.02</v>
      </c>
    </row>
    <row r="684" s="1" customFormat="1" ht="23" customHeight="1" spans="1:9">
      <c r="A684" s="7" t="str">
        <f>"10030206525"</f>
        <v>10030206525</v>
      </c>
      <c r="B684" s="7" t="str">
        <f t="shared" si="23"/>
        <v>1003</v>
      </c>
      <c r="C684" s="7" t="str">
        <f>"刘玲君"</f>
        <v>刘玲君</v>
      </c>
      <c r="D684" s="7">
        <v>8</v>
      </c>
      <c r="E684" s="7">
        <v>10</v>
      </c>
      <c r="F684" s="7" t="s">
        <v>13</v>
      </c>
      <c r="G684" s="8">
        <v>82.54</v>
      </c>
      <c r="H684" s="7"/>
      <c r="I684" s="8">
        <v>82.54</v>
      </c>
    </row>
    <row r="685" s="1" customFormat="1" ht="23" customHeight="1" spans="1:9">
      <c r="A685" s="7" t="str">
        <f>"10030206816"</f>
        <v>10030206816</v>
      </c>
      <c r="B685" s="7" t="str">
        <f t="shared" si="23"/>
        <v>1003</v>
      </c>
      <c r="C685" s="7" t="str">
        <f>"李静怡"</f>
        <v>李静怡</v>
      </c>
      <c r="D685" s="7">
        <v>8</v>
      </c>
      <c r="E685" s="7">
        <v>11</v>
      </c>
      <c r="F685" s="7" t="s">
        <v>13</v>
      </c>
      <c r="G685" s="8">
        <v>83.96</v>
      </c>
      <c r="H685" s="7"/>
      <c r="I685" s="8">
        <v>83.96</v>
      </c>
    </row>
    <row r="686" s="1" customFormat="1" ht="23" customHeight="1" spans="1:9">
      <c r="A686" s="7" t="str">
        <f>"10030206329"</f>
        <v>10030206329</v>
      </c>
      <c r="B686" s="7" t="str">
        <f t="shared" si="23"/>
        <v>1003</v>
      </c>
      <c r="C686" s="7" t="str">
        <f>"姜迪"</f>
        <v>姜迪</v>
      </c>
      <c r="D686" s="7">
        <v>8</v>
      </c>
      <c r="E686" s="7">
        <v>12</v>
      </c>
      <c r="F686" s="7" t="s">
        <v>13</v>
      </c>
      <c r="G686" s="8">
        <v>80.92</v>
      </c>
      <c r="H686" s="7"/>
      <c r="I686" s="8">
        <v>80.92</v>
      </c>
    </row>
    <row r="687" s="1" customFormat="1" ht="23" customHeight="1" spans="1:9">
      <c r="A687" s="7" t="str">
        <f>"10030206401"</f>
        <v>10030206401</v>
      </c>
      <c r="B687" s="7" t="str">
        <f t="shared" si="23"/>
        <v>1003</v>
      </c>
      <c r="C687" s="7" t="str">
        <f>"王瑶"</f>
        <v>王瑶</v>
      </c>
      <c r="D687" s="7">
        <v>8</v>
      </c>
      <c r="E687" s="7">
        <v>13</v>
      </c>
      <c r="F687" s="7" t="s">
        <v>13</v>
      </c>
      <c r="G687" s="8">
        <v>82.16</v>
      </c>
      <c r="H687" s="7"/>
      <c r="I687" s="8">
        <v>82.16</v>
      </c>
    </row>
    <row r="688" s="1" customFormat="1" ht="23" customHeight="1" spans="1:9">
      <c r="A688" s="7" t="str">
        <f>"10030206727"</f>
        <v>10030206727</v>
      </c>
      <c r="B688" s="7" t="str">
        <f t="shared" si="23"/>
        <v>1003</v>
      </c>
      <c r="C688" s="7" t="str">
        <f>"徐菲"</f>
        <v>徐菲</v>
      </c>
      <c r="D688" s="7">
        <v>8</v>
      </c>
      <c r="E688" s="7">
        <v>14</v>
      </c>
      <c r="F688" s="7" t="s">
        <v>13</v>
      </c>
      <c r="G688" s="8">
        <v>82.2</v>
      </c>
      <c r="H688" s="7"/>
      <c r="I688" s="8">
        <v>82.2</v>
      </c>
    </row>
    <row r="689" s="1" customFormat="1" ht="23" customHeight="1" spans="1:9">
      <c r="A689" s="7" t="str">
        <f>"10030206830"</f>
        <v>10030206830</v>
      </c>
      <c r="B689" s="7" t="str">
        <f t="shared" si="23"/>
        <v>1003</v>
      </c>
      <c r="C689" s="7" t="str">
        <f>"高双"</f>
        <v>高双</v>
      </c>
      <c r="D689" s="7">
        <v>8</v>
      </c>
      <c r="E689" s="7">
        <v>15</v>
      </c>
      <c r="F689" s="7" t="s">
        <v>13</v>
      </c>
      <c r="G689" s="8">
        <v>83.96</v>
      </c>
      <c r="H689" s="7"/>
      <c r="I689" s="8">
        <v>83.96</v>
      </c>
    </row>
    <row r="690" s="1" customFormat="1" ht="23" customHeight="1" spans="1:9">
      <c r="A690" s="7" t="str">
        <f>"10030206411"</f>
        <v>10030206411</v>
      </c>
      <c r="B690" s="7" t="str">
        <f t="shared" si="23"/>
        <v>1003</v>
      </c>
      <c r="C690" s="7" t="str">
        <f>"程冰露"</f>
        <v>程冰露</v>
      </c>
      <c r="D690" s="7">
        <v>8</v>
      </c>
      <c r="E690" s="7" t="s">
        <v>11</v>
      </c>
      <c r="F690" s="7" t="s">
        <v>13</v>
      </c>
      <c r="G690" s="8" t="s">
        <v>11</v>
      </c>
      <c r="H690" s="7"/>
      <c r="I690" s="8" t="s">
        <v>11</v>
      </c>
    </row>
    <row r="691" s="1" customFormat="1" ht="23" customHeight="1" spans="1:9">
      <c r="A691" s="7" t="str">
        <f>"10030206601"</f>
        <v>10030206601</v>
      </c>
      <c r="B691" s="7" t="str">
        <f t="shared" si="23"/>
        <v>1003</v>
      </c>
      <c r="C691" s="7" t="str">
        <f>"魏方圆"</f>
        <v>魏方圆</v>
      </c>
      <c r="D691" s="7">
        <v>8</v>
      </c>
      <c r="E691" s="7" t="s">
        <v>11</v>
      </c>
      <c r="F691" s="7" t="s">
        <v>13</v>
      </c>
      <c r="G691" s="8" t="s">
        <v>11</v>
      </c>
      <c r="H691" s="7"/>
      <c r="I691" s="8" t="s">
        <v>11</v>
      </c>
    </row>
    <row r="692" s="1" customFormat="1" ht="23" customHeight="1" spans="1:9">
      <c r="A692" s="7" t="str">
        <f>"10130209219"</f>
        <v>10130209219</v>
      </c>
      <c r="B692" s="7" t="str">
        <f t="shared" ref="B692:B699" si="24">"1013"</f>
        <v>1013</v>
      </c>
      <c r="C692" s="7" t="str">
        <f>"黄冠华"</f>
        <v>黄冠华</v>
      </c>
      <c r="D692" s="7">
        <v>9</v>
      </c>
      <c r="E692" s="7">
        <v>1</v>
      </c>
      <c r="F692" s="7" t="s">
        <v>13</v>
      </c>
      <c r="G692" s="8">
        <v>82.12</v>
      </c>
      <c r="H692" s="7"/>
      <c r="I692" s="8">
        <v>82.12</v>
      </c>
    </row>
    <row r="693" s="1" customFormat="1" ht="23" customHeight="1" spans="1:9">
      <c r="A693" s="7" t="str">
        <f>"10130209214"</f>
        <v>10130209214</v>
      </c>
      <c r="B693" s="7" t="str">
        <f t="shared" si="24"/>
        <v>1013</v>
      </c>
      <c r="C693" s="7" t="str">
        <f>"吴帅帅"</f>
        <v>吴帅帅</v>
      </c>
      <c r="D693" s="7">
        <v>9</v>
      </c>
      <c r="E693" s="7">
        <v>2</v>
      </c>
      <c r="F693" s="7" t="s">
        <v>13</v>
      </c>
      <c r="G693" s="8">
        <v>82.28</v>
      </c>
      <c r="H693" s="7"/>
      <c r="I693" s="8">
        <v>82.28</v>
      </c>
    </row>
    <row r="694" s="1" customFormat="1" ht="23" customHeight="1" spans="1:9">
      <c r="A694" s="7" t="str">
        <f>"10130209228"</f>
        <v>10130209228</v>
      </c>
      <c r="B694" s="7" t="str">
        <f t="shared" si="24"/>
        <v>1013</v>
      </c>
      <c r="C694" s="7" t="str">
        <f>"姜琳"</f>
        <v>姜琳</v>
      </c>
      <c r="D694" s="7">
        <v>9</v>
      </c>
      <c r="E694" s="7">
        <v>3</v>
      </c>
      <c r="F694" s="7" t="s">
        <v>13</v>
      </c>
      <c r="G694" s="8">
        <v>81.96</v>
      </c>
      <c r="H694" s="7"/>
      <c r="I694" s="8">
        <v>81.96</v>
      </c>
    </row>
    <row r="695" s="1" customFormat="1" ht="23" customHeight="1" spans="1:9">
      <c r="A695" s="7" t="str">
        <f>"10130209206"</f>
        <v>10130209206</v>
      </c>
      <c r="B695" s="7" t="str">
        <f t="shared" si="24"/>
        <v>1013</v>
      </c>
      <c r="C695" s="7" t="str">
        <f>"张进"</f>
        <v>张进</v>
      </c>
      <c r="D695" s="7">
        <v>9</v>
      </c>
      <c r="E695" s="7">
        <v>4</v>
      </c>
      <c r="F695" s="7" t="s">
        <v>13</v>
      </c>
      <c r="G695" s="8">
        <v>84.28</v>
      </c>
      <c r="H695" s="7"/>
      <c r="I695" s="8">
        <v>84.28</v>
      </c>
    </row>
    <row r="696" s="1" customFormat="1" ht="23" customHeight="1" spans="1:9">
      <c r="A696" s="7" t="str">
        <f>"10130209303"</f>
        <v>10130209303</v>
      </c>
      <c r="B696" s="7" t="str">
        <f t="shared" si="24"/>
        <v>1013</v>
      </c>
      <c r="C696" s="7" t="str">
        <f>"方馨悦"</f>
        <v>方馨悦</v>
      </c>
      <c r="D696" s="7">
        <v>9</v>
      </c>
      <c r="E696" s="7">
        <v>5</v>
      </c>
      <c r="F696" s="7" t="s">
        <v>13</v>
      </c>
      <c r="G696" s="8">
        <v>85</v>
      </c>
      <c r="H696" s="7"/>
      <c r="I696" s="8">
        <v>85</v>
      </c>
    </row>
    <row r="697" s="1" customFormat="1" ht="23" customHeight="1" spans="1:9">
      <c r="A697" s="7" t="str">
        <f>"10130209229"</f>
        <v>10130209229</v>
      </c>
      <c r="B697" s="7" t="str">
        <f t="shared" si="24"/>
        <v>1013</v>
      </c>
      <c r="C697" s="7" t="str">
        <f>"吕金金"</f>
        <v>吕金金</v>
      </c>
      <c r="D697" s="7">
        <v>9</v>
      </c>
      <c r="E697" s="7">
        <v>6</v>
      </c>
      <c r="F697" s="7" t="s">
        <v>13</v>
      </c>
      <c r="G697" s="8">
        <v>82.46</v>
      </c>
      <c r="H697" s="7"/>
      <c r="I697" s="8">
        <v>82.46</v>
      </c>
    </row>
    <row r="698" s="1" customFormat="1" ht="23" customHeight="1" spans="1:9">
      <c r="A698" s="7" t="str">
        <f>"10130209108"</f>
        <v>10130209108</v>
      </c>
      <c r="B698" s="7" t="str">
        <f t="shared" si="24"/>
        <v>1013</v>
      </c>
      <c r="C698" s="7" t="str">
        <f>"张夏一"</f>
        <v>张夏一</v>
      </c>
      <c r="D698" s="7">
        <v>9</v>
      </c>
      <c r="E698" s="7">
        <v>7</v>
      </c>
      <c r="F698" s="7" t="s">
        <v>13</v>
      </c>
      <c r="G698" s="8">
        <v>83.4</v>
      </c>
      <c r="H698" s="7"/>
      <c r="I698" s="8">
        <v>83.4</v>
      </c>
    </row>
    <row r="699" s="1" customFormat="1" ht="23" customHeight="1" spans="1:9">
      <c r="A699" s="7" t="str">
        <f>"10130209316"</f>
        <v>10130209316</v>
      </c>
      <c r="B699" s="7" t="str">
        <f t="shared" si="24"/>
        <v>1013</v>
      </c>
      <c r="C699" s="7" t="str">
        <f>"李佳琳"</f>
        <v>李佳琳</v>
      </c>
      <c r="D699" s="7">
        <v>9</v>
      </c>
      <c r="E699" s="7">
        <v>8</v>
      </c>
      <c r="F699" s="7" t="s">
        <v>13</v>
      </c>
      <c r="G699" s="8">
        <v>82.6</v>
      </c>
      <c r="H699" s="7"/>
      <c r="I699" s="8">
        <v>82.6</v>
      </c>
    </row>
    <row r="700" s="1" customFormat="1" ht="23" customHeight="1" spans="1:9">
      <c r="A700" s="7" t="str">
        <f>"20130517028"</f>
        <v>20130517028</v>
      </c>
      <c r="B700" s="7" t="str">
        <f t="shared" ref="B700:B706" si="25">"2013"</f>
        <v>2013</v>
      </c>
      <c r="C700" s="7" t="str">
        <f>"白艺涵"</f>
        <v>白艺涵</v>
      </c>
      <c r="D700" s="7">
        <v>9</v>
      </c>
      <c r="E700" s="7">
        <v>11</v>
      </c>
      <c r="F700" s="7" t="s">
        <v>13</v>
      </c>
      <c r="G700" s="8">
        <v>82.6</v>
      </c>
      <c r="H700" s="7"/>
      <c r="I700" s="8">
        <v>82.6</v>
      </c>
    </row>
    <row r="701" s="1" customFormat="1" ht="23" customHeight="1" spans="1:9">
      <c r="A701" s="7" t="str">
        <f>"20130517025"</f>
        <v>20130517025</v>
      </c>
      <c r="B701" s="7" t="str">
        <f t="shared" si="25"/>
        <v>2013</v>
      </c>
      <c r="C701" s="7" t="str">
        <f>"杨玉纯"</f>
        <v>杨玉纯</v>
      </c>
      <c r="D701" s="7">
        <v>9</v>
      </c>
      <c r="E701" s="7">
        <v>12</v>
      </c>
      <c r="F701" s="7" t="s">
        <v>13</v>
      </c>
      <c r="G701" s="8">
        <v>82.96</v>
      </c>
      <c r="H701" s="7"/>
      <c r="I701" s="8">
        <v>82.96</v>
      </c>
    </row>
    <row r="702" s="1" customFormat="1" ht="23" customHeight="1" spans="1:9">
      <c r="A702" s="7" t="str">
        <f>"20130516919"</f>
        <v>20130516919</v>
      </c>
      <c r="B702" s="7" t="str">
        <f t="shared" si="25"/>
        <v>2013</v>
      </c>
      <c r="C702" s="7" t="str">
        <f>"张娟"</f>
        <v>张娟</v>
      </c>
      <c r="D702" s="7">
        <v>9</v>
      </c>
      <c r="E702" s="7">
        <v>13</v>
      </c>
      <c r="F702" s="7" t="s">
        <v>13</v>
      </c>
      <c r="G702" s="8">
        <v>83.94</v>
      </c>
      <c r="H702" s="7"/>
      <c r="I702" s="8">
        <v>83.94</v>
      </c>
    </row>
    <row r="703" s="1" customFormat="1" ht="23" customHeight="1" spans="1:9">
      <c r="A703" s="7" t="str">
        <f>"20130517003"</f>
        <v>20130517003</v>
      </c>
      <c r="B703" s="7" t="str">
        <f t="shared" si="25"/>
        <v>2013</v>
      </c>
      <c r="C703" s="7" t="str">
        <f>"谢藤"</f>
        <v>谢藤</v>
      </c>
      <c r="D703" s="7">
        <v>9</v>
      </c>
      <c r="E703" s="7">
        <v>14</v>
      </c>
      <c r="F703" s="7" t="s">
        <v>13</v>
      </c>
      <c r="G703" s="8">
        <v>83.64</v>
      </c>
      <c r="H703" s="7"/>
      <c r="I703" s="8">
        <v>83.64</v>
      </c>
    </row>
    <row r="704" s="1" customFormat="1" ht="23" customHeight="1" spans="1:9">
      <c r="A704" s="7" t="str">
        <f>"20130517125"</f>
        <v>20130517125</v>
      </c>
      <c r="B704" s="7" t="str">
        <f t="shared" si="25"/>
        <v>2013</v>
      </c>
      <c r="C704" s="7" t="str">
        <f>"李格"</f>
        <v>李格</v>
      </c>
      <c r="D704" s="7">
        <v>9</v>
      </c>
      <c r="E704" s="7">
        <v>15</v>
      </c>
      <c r="F704" s="7" t="s">
        <v>13</v>
      </c>
      <c r="G704" s="8">
        <v>82.6</v>
      </c>
      <c r="H704" s="7"/>
      <c r="I704" s="8">
        <v>82.6</v>
      </c>
    </row>
    <row r="705" s="1" customFormat="1" ht="23" customHeight="1" spans="1:9">
      <c r="A705" s="7" t="str">
        <f>"20130517012"</f>
        <v>20130517012</v>
      </c>
      <c r="B705" s="7" t="str">
        <f t="shared" si="25"/>
        <v>2013</v>
      </c>
      <c r="C705" s="7" t="str">
        <f>"王森"</f>
        <v>王森</v>
      </c>
      <c r="D705" s="7">
        <v>9</v>
      </c>
      <c r="E705" s="7">
        <v>16</v>
      </c>
      <c r="F705" s="7" t="s">
        <v>13</v>
      </c>
      <c r="G705" s="8">
        <v>83.32</v>
      </c>
      <c r="H705" s="7"/>
      <c r="I705" s="8">
        <v>83.32</v>
      </c>
    </row>
    <row r="706" s="1" customFormat="1" ht="23" customHeight="1" spans="1:9">
      <c r="A706" s="7" t="str">
        <f>"20130517105"</f>
        <v>20130517105</v>
      </c>
      <c r="B706" s="7" t="str">
        <f t="shared" si="25"/>
        <v>2013</v>
      </c>
      <c r="C706" s="7" t="str">
        <f>"张芳"</f>
        <v>张芳</v>
      </c>
      <c r="D706" s="7">
        <v>9</v>
      </c>
      <c r="E706" s="7">
        <v>17</v>
      </c>
      <c r="F706" s="7" t="s">
        <v>13</v>
      </c>
      <c r="G706" s="8">
        <v>83.68</v>
      </c>
      <c r="H706" s="7"/>
      <c r="I706" s="8">
        <v>83.68</v>
      </c>
    </row>
    <row r="707" s="1" customFormat="1" ht="23" customHeight="1" spans="1:9">
      <c r="A707" s="7" t="str">
        <f>"10130209116"</f>
        <v>10130209116</v>
      </c>
      <c r="B707" s="7" t="str">
        <f>"1013"</f>
        <v>1013</v>
      </c>
      <c r="C707" s="7" t="str">
        <f>"贺钰然"</f>
        <v>贺钰然</v>
      </c>
      <c r="D707" s="7">
        <v>9</v>
      </c>
      <c r="E707" s="7" t="s">
        <v>11</v>
      </c>
      <c r="F707" s="7" t="s">
        <v>13</v>
      </c>
      <c r="G707" s="8" t="s">
        <v>11</v>
      </c>
      <c r="H707" s="7"/>
      <c r="I707" s="8" t="s">
        <v>11</v>
      </c>
    </row>
    <row r="708" s="1" customFormat="1" ht="23" customHeight="1" spans="1:9">
      <c r="A708" s="7" t="str">
        <f>"10130209128"</f>
        <v>10130209128</v>
      </c>
      <c r="B708" s="7" t="str">
        <f>"1013"</f>
        <v>1013</v>
      </c>
      <c r="C708" s="7" t="str">
        <f>"李文慧"</f>
        <v>李文慧</v>
      </c>
      <c r="D708" s="7">
        <v>9</v>
      </c>
      <c r="E708" s="7" t="s">
        <v>11</v>
      </c>
      <c r="F708" s="7" t="s">
        <v>13</v>
      </c>
      <c r="G708" s="8" t="s">
        <v>11</v>
      </c>
      <c r="H708" s="7"/>
      <c r="I708" s="8" t="s">
        <v>11</v>
      </c>
    </row>
    <row r="709" s="1" customFormat="1" ht="23" customHeight="1" spans="1:9">
      <c r="A709" s="7" t="str">
        <f>"20130516818"</f>
        <v>20130516818</v>
      </c>
      <c r="B709" s="7" t="str">
        <f>"2013"</f>
        <v>2013</v>
      </c>
      <c r="C709" s="7" t="str">
        <f>"王硕"</f>
        <v>王硕</v>
      </c>
      <c r="D709" s="7">
        <v>9</v>
      </c>
      <c r="E709" s="7" t="s">
        <v>11</v>
      </c>
      <c r="F709" s="7" t="s">
        <v>13</v>
      </c>
      <c r="G709" s="8" t="s">
        <v>11</v>
      </c>
      <c r="H709" s="7"/>
      <c r="I709" s="8" t="s">
        <v>11</v>
      </c>
    </row>
    <row r="710" s="1" customFormat="1" ht="23" customHeight="1" spans="1:9">
      <c r="A710" s="7" t="str">
        <f>"20130517113"</f>
        <v>20130517113</v>
      </c>
      <c r="B710" s="7" t="str">
        <f>"2013"</f>
        <v>2013</v>
      </c>
      <c r="C710" s="7" t="str">
        <f>"王艳茹"</f>
        <v>王艳茹</v>
      </c>
      <c r="D710" s="7">
        <v>9</v>
      </c>
      <c r="E710" s="7" t="s">
        <v>11</v>
      </c>
      <c r="F710" s="7" t="s">
        <v>13</v>
      </c>
      <c r="G710" s="8" t="s">
        <v>11</v>
      </c>
      <c r="H710" s="7"/>
      <c r="I710" s="8" t="s">
        <v>11</v>
      </c>
    </row>
    <row r="711" s="1" customFormat="1" ht="23" customHeight="1" spans="1:9">
      <c r="A711" s="7" t="str">
        <f>"10040206917"</f>
        <v>10040206917</v>
      </c>
      <c r="B711" s="7" t="str">
        <f t="shared" ref="B711:B725" si="26">"1004"</f>
        <v>1004</v>
      </c>
      <c r="C711" s="7" t="str">
        <f>"龚勋伟"</f>
        <v>龚勋伟</v>
      </c>
      <c r="D711" s="7">
        <v>10</v>
      </c>
      <c r="E711" s="7">
        <v>1</v>
      </c>
      <c r="F711" s="7" t="s">
        <v>13</v>
      </c>
      <c r="G711" s="8">
        <v>81.78</v>
      </c>
      <c r="H711" s="7"/>
      <c r="I711" s="8">
        <v>81.78</v>
      </c>
    </row>
    <row r="712" s="1" customFormat="1" ht="23" customHeight="1" spans="1:9">
      <c r="A712" s="7" t="str">
        <f>"10040207007"</f>
        <v>10040207007</v>
      </c>
      <c r="B712" s="7" t="str">
        <f t="shared" si="26"/>
        <v>1004</v>
      </c>
      <c r="C712" s="7" t="str">
        <f>"贾航"</f>
        <v>贾航</v>
      </c>
      <c r="D712" s="7">
        <v>10</v>
      </c>
      <c r="E712" s="7">
        <v>2</v>
      </c>
      <c r="F712" s="7" t="s">
        <v>13</v>
      </c>
      <c r="G712" s="8">
        <v>83.74</v>
      </c>
      <c r="H712" s="7"/>
      <c r="I712" s="8">
        <v>83.74</v>
      </c>
    </row>
    <row r="713" s="1" customFormat="1" ht="23" customHeight="1" spans="1:9">
      <c r="A713" s="7" t="str">
        <f>"10040206910"</f>
        <v>10040206910</v>
      </c>
      <c r="B713" s="7" t="str">
        <f t="shared" si="26"/>
        <v>1004</v>
      </c>
      <c r="C713" s="7" t="str">
        <f>"马依诺"</f>
        <v>马依诺</v>
      </c>
      <c r="D713" s="7">
        <v>10</v>
      </c>
      <c r="E713" s="7">
        <v>3</v>
      </c>
      <c r="F713" s="7" t="s">
        <v>13</v>
      </c>
      <c r="G713" s="8">
        <v>83.06</v>
      </c>
      <c r="H713" s="7"/>
      <c r="I713" s="8">
        <v>83.06</v>
      </c>
    </row>
    <row r="714" s="1" customFormat="1" ht="23" customHeight="1" spans="1:9">
      <c r="A714" s="7" t="str">
        <f>"10040206927"</f>
        <v>10040206927</v>
      </c>
      <c r="B714" s="7" t="str">
        <f t="shared" si="26"/>
        <v>1004</v>
      </c>
      <c r="C714" s="7" t="str">
        <f>"张泽林"</f>
        <v>张泽林</v>
      </c>
      <c r="D714" s="7">
        <v>10</v>
      </c>
      <c r="E714" s="7">
        <v>4</v>
      </c>
      <c r="F714" s="7" t="s">
        <v>13</v>
      </c>
      <c r="G714" s="8">
        <v>83.8</v>
      </c>
      <c r="H714" s="7"/>
      <c r="I714" s="8">
        <v>83.8</v>
      </c>
    </row>
    <row r="715" s="1" customFormat="1" ht="23" customHeight="1" spans="1:9">
      <c r="A715" s="7" t="str">
        <f>"10040207003"</f>
        <v>10040207003</v>
      </c>
      <c r="B715" s="7" t="str">
        <f t="shared" si="26"/>
        <v>1004</v>
      </c>
      <c r="C715" s="7" t="str">
        <f>"郝小雅"</f>
        <v>郝小雅</v>
      </c>
      <c r="D715" s="7">
        <v>10</v>
      </c>
      <c r="E715" s="7">
        <v>5</v>
      </c>
      <c r="F715" s="7" t="s">
        <v>13</v>
      </c>
      <c r="G715" s="8">
        <v>83.28</v>
      </c>
      <c r="H715" s="7"/>
      <c r="I715" s="8">
        <v>83.28</v>
      </c>
    </row>
    <row r="716" s="1" customFormat="1" ht="23" customHeight="1" spans="1:9">
      <c r="A716" s="7" t="str">
        <f>"10040206905"</f>
        <v>10040206905</v>
      </c>
      <c r="B716" s="7" t="str">
        <f t="shared" si="26"/>
        <v>1004</v>
      </c>
      <c r="C716" s="7" t="str">
        <f>"曹艳芳"</f>
        <v>曹艳芳</v>
      </c>
      <c r="D716" s="7">
        <v>10</v>
      </c>
      <c r="E716" s="7">
        <v>6</v>
      </c>
      <c r="F716" s="7" t="s">
        <v>13</v>
      </c>
      <c r="G716" s="8">
        <v>82.68</v>
      </c>
      <c r="H716" s="7"/>
      <c r="I716" s="8">
        <v>82.68</v>
      </c>
    </row>
    <row r="717" s="1" customFormat="1" ht="23" customHeight="1" spans="1:9">
      <c r="A717" s="7" t="str">
        <f>"10040207001"</f>
        <v>10040207001</v>
      </c>
      <c r="B717" s="7" t="str">
        <f t="shared" si="26"/>
        <v>1004</v>
      </c>
      <c r="C717" s="7" t="str">
        <f>"武淼"</f>
        <v>武淼</v>
      </c>
      <c r="D717" s="7">
        <v>10</v>
      </c>
      <c r="E717" s="7">
        <v>7</v>
      </c>
      <c r="F717" s="7" t="s">
        <v>13</v>
      </c>
      <c r="G717" s="8">
        <v>83.38</v>
      </c>
      <c r="H717" s="7"/>
      <c r="I717" s="8">
        <v>83.38</v>
      </c>
    </row>
    <row r="718" s="1" customFormat="1" ht="23" customHeight="1" spans="1:9">
      <c r="A718" s="7" t="str">
        <f>"10040206925"</f>
        <v>10040206925</v>
      </c>
      <c r="B718" s="7" t="str">
        <f t="shared" si="26"/>
        <v>1004</v>
      </c>
      <c r="C718" s="7" t="str">
        <f>"张林"</f>
        <v>张林</v>
      </c>
      <c r="D718" s="7">
        <v>10</v>
      </c>
      <c r="E718" s="7">
        <v>8</v>
      </c>
      <c r="F718" s="7" t="s">
        <v>13</v>
      </c>
      <c r="G718" s="8">
        <v>83.86</v>
      </c>
      <c r="H718" s="7"/>
      <c r="I718" s="8">
        <v>83.86</v>
      </c>
    </row>
    <row r="719" s="1" customFormat="1" ht="23" customHeight="1" spans="1:9">
      <c r="A719" s="7" t="str">
        <f>"10040207004"</f>
        <v>10040207004</v>
      </c>
      <c r="B719" s="7" t="str">
        <f t="shared" si="26"/>
        <v>1004</v>
      </c>
      <c r="C719" s="7" t="str">
        <f>"周志统"</f>
        <v>周志统</v>
      </c>
      <c r="D719" s="7">
        <v>10</v>
      </c>
      <c r="E719" s="7">
        <v>9</v>
      </c>
      <c r="F719" s="7" t="s">
        <v>13</v>
      </c>
      <c r="G719" s="8">
        <v>82.8</v>
      </c>
      <c r="H719" s="7"/>
      <c r="I719" s="8">
        <v>82.8</v>
      </c>
    </row>
    <row r="720" s="1" customFormat="1" ht="23" customHeight="1" spans="1:9">
      <c r="A720" s="7" t="str">
        <f>"10040206929"</f>
        <v>10040206929</v>
      </c>
      <c r="B720" s="7" t="str">
        <f t="shared" si="26"/>
        <v>1004</v>
      </c>
      <c r="C720" s="7" t="str">
        <f>"李颖"</f>
        <v>李颖</v>
      </c>
      <c r="D720" s="7">
        <v>10</v>
      </c>
      <c r="E720" s="7">
        <v>10</v>
      </c>
      <c r="F720" s="7" t="s">
        <v>13</v>
      </c>
      <c r="G720" s="8">
        <v>82.8</v>
      </c>
      <c r="H720" s="7"/>
      <c r="I720" s="8">
        <v>82.8</v>
      </c>
    </row>
    <row r="721" s="1" customFormat="1" ht="23" customHeight="1" spans="1:9">
      <c r="A721" s="7" t="str">
        <f>"10040206923"</f>
        <v>10040206923</v>
      </c>
      <c r="B721" s="7" t="str">
        <f t="shared" si="26"/>
        <v>1004</v>
      </c>
      <c r="C721" s="7" t="str">
        <f>"刘洋"</f>
        <v>刘洋</v>
      </c>
      <c r="D721" s="7">
        <v>10</v>
      </c>
      <c r="E721" s="7">
        <v>11</v>
      </c>
      <c r="F721" s="7" t="s">
        <v>13</v>
      </c>
      <c r="G721" s="8">
        <v>83.74</v>
      </c>
      <c r="H721" s="7"/>
      <c r="I721" s="8">
        <v>83.74</v>
      </c>
    </row>
    <row r="722" s="1" customFormat="1" ht="23" customHeight="1" spans="1:9">
      <c r="A722" s="7" t="str">
        <f>"10040206909"</f>
        <v>10040206909</v>
      </c>
      <c r="B722" s="7" t="str">
        <f t="shared" si="26"/>
        <v>1004</v>
      </c>
      <c r="C722" s="7" t="str">
        <f>"王科森"</f>
        <v>王科森</v>
      </c>
      <c r="D722" s="7">
        <v>10</v>
      </c>
      <c r="E722" s="7">
        <v>12</v>
      </c>
      <c r="F722" s="7" t="s">
        <v>13</v>
      </c>
      <c r="G722" s="8">
        <v>83.66</v>
      </c>
      <c r="H722" s="7"/>
      <c r="I722" s="8">
        <v>83.66</v>
      </c>
    </row>
    <row r="723" s="1" customFormat="1" ht="23" customHeight="1" spans="1:9">
      <c r="A723" s="7" t="str">
        <f>"10040206915"</f>
        <v>10040206915</v>
      </c>
      <c r="B723" s="7" t="str">
        <f t="shared" si="26"/>
        <v>1004</v>
      </c>
      <c r="C723" s="7" t="str">
        <f>"来雪"</f>
        <v>来雪</v>
      </c>
      <c r="D723" s="7">
        <v>10</v>
      </c>
      <c r="E723" s="7" t="s">
        <v>11</v>
      </c>
      <c r="F723" s="7" t="s">
        <v>13</v>
      </c>
      <c r="G723" s="8" t="s">
        <v>11</v>
      </c>
      <c r="H723" s="7"/>
      <c r="I723" s="8" t="s">
        <v>11</v>
      </c>
    </row>
    <row r="724" s="1" customFormat="1" ht="23" customHeight="1" spans="1:9">
      <c r="A724" s="7" t="str">
        <f>"10040207006"</f>
        <v>10040207006</v>
      </c>
      <c r="B724" s="7" t="str">
        <f t="shared" si="26"/>
        <v>1004</v>
      </c>
      <c r="C724" s="7" t="str">
        <f>"李研"</f>
        <v>李研</v>
      </c>
      <c r="D724" s="7">
        <v>10</v>
      </c>
      <c r="E724" s="7" t="s">
        <v>11</v>
      </c>
      <c r="F724" s="7" t="s">
        <v>13</v>
      </c>
      <c r="G724" s="8" t="s">
        <v>11</v>
      </c>
      <c r="H724" s="7"/>
      <c r="I724" s="8" t="s">
        <v>11</v>
      </c>
    </row>
    <row r="725" s="1" customFormat="1" ht="23" customHeight="1" spans="1:9">
      <c r="A725" s="7" t="str">
        <f>"10040207008"</f>
        <v>10040207008</v>
      </c>
      <c r="B725" s="7" t="str">
        <f t="shared" si="26"/>
        <v>1004</v>
      </c>
      <c r="C725" s="7" t="str">
        <f>"段佳奇"</f>
        <v>段佳奇</v>
      </c>
      <c r="D725" s="7">
        <v>10</v>
      </c>
      <c r="E725" s="7" t="s">
        <v>11</v>
      </c>
      <c r="F725" s="7" t="s">
        <v>13</v>
      </c>
      <c r="G725" s="8" t="s">
        <v>11</v>
      </c>
      <c r="H725" s="7"/>
      <c r="I725" s="8" t="s">
        <v>11</v>
      </c>
    </row>
    <row r="726" s="1" customFormat="1" ht="23" customHeight="1" spans="1:9">
      <c r="A726" s="13" t="str">
        <f>"10050207108"</f>
        <v>10050207108</v>
      </c>
      <c r="B726" s="7" t="str">
        <f t="shared" ref="B726:B736" si="27">"1005"</f>
        <v>1005</v>
      </c>
      <c r="C726" s="7" t="str">
        <f>"贾五岳"</f>
        <v>贾五岳</v>
      </c>
      <c r="D726" s="9">
        <v>11</v>
      </c>
      <c r="E726" s="9">
        <v>1</v>
      </c>
      <c r="F726" s="12" t="s">
        <v>13</v>
      </c>
      <c r="G726" s="11">
        <v>83.34</v>
      </c>
      <c r="H726" s="7"/>
      <c r="I726" s="11">
        <v>83.34</v>
      </c>
    </row>
    <row r="727" s="1" customFormat="1" ht="23" customHeight="1" spans="1:9">
      <c r="A727" s="7" t="str">
        <f>"10050207212"</f>
        <v>10050207212</v>
      </c>
      <c r="B727" s="7" t="str">
        <f t="shared" si="27"/>
        <v>1005</v>
      </c>
      <c r="C727" s="7" t="str">
        <f>"王远飞"</f>
        <v>王远飞</v>
      </c>
      <c r="D727" s="9">
        <v>11</v>
      </c>
      <c r="E727" s="9">
        <v>2</v>
      </c>
      <c r="F727" s="12" t="s">
        <v>13</v>
      </c>
      <c r="G727" s="11">
        <v>82.78</v>
      </c>
      <c r="H727" s="7"/>
      <c r="I727" s="11">
        <v>82.78</v>
      </c>
    </row>
    <row r="728" s="1" customFormat="1" ht="23" customHeight="1" spans="1:9">
      <c r="A728" s="7" t="str">
        <f>"10050207106"</f>
        <v>10050207106</v>
      </c>
      <c r="B728" s="7" t="str">
        <f t="shared" si="27"/>
        <v>1005</v>
      </c>
      <c r="C728" s="7" t="str">
        <f>"马晓云"</f>
        <v>马晓云</v>
      </c>
      <c r="D728" s="9">
        <v>11</v>
      </c>
      <c r="E728" s="9">
        <v>3</v>
      </c>
      <c r="F728" s="12" t="s">
        <v>13</v>
      </c>
      <c r="G728" s="11">
        <v>82.1</v>
      </c>
      <c r="H728" s="7"/>
      <c r="I728" s="11">
        <v>82.1</v>
      </c>
    </row>
    <row r="729" s="1" customFormat="1" ht="23" customHeight="1" spans="1:9">
      <c r="A729" s="7" t="str">
        <f>"10050207029"</f>
        <v>10050207029</v>
      </c>
      <c r="B729" s="7" t="str">
        <f t="shared" si="27"/>
        <v>1005</v>
      </c>
      <c r="C729" s="7" t="str">
        <f>"谢涛"</f>
        <v>谢涛</v>
      </c>
      <c r="D729" s="9">
        <v>11</v>
      </c>
      <c r="E729" s="9">
        <v>4</v>
      </c>
      <c r="F729" s="12" t="s">
        <v>13</v>
      </c>
      <c r="G729" s="11">
        <v>83.86</v>
      </c>
      <c r="H729" s="7"/>
      <c r="I729" s="11">
        <v>83.86</v>
      </c>
    </row>
    <row r="730" s="1" customFormat="1" ht="23" customHeight="1" spans="1:9">
      <c r="A730" s="7" t="str">
        <f>"10050207028"</f>
        <v>10050207028</v>
      </c>
      <c r="B730" s="7" t="str">
        <f t="shared" si="27"/>
        <v>1005</v>
      </c>
      <c r="C730" s="7" t="str">
        <f>"卢曼"</f>
        <v>卢曼</v>
      </c>
      <c r="D730" s="9">
        <v>11</v>
      </c>
      <c r="E730" s="9">
        <v>5</v>
      </c>
      <c r="F730" s="12" t="s">
        <v>13</v>
      </c>
      <c r="G730" s="11">
        <v>82.24</v>
      </c>
      <c r="H730" s="7"/>
      <c r="I730" s="11">
        <v>82.24</v>
      </c>
    </row>
    <row r="731" s="1" customFormat="1" ht="23" customHeight="1" spans="1:9">
      <c r="A731" s="7" t="str">
        <f>"10050207211"</f>
        <v>10050207211</v>
      </c>
      <c r="B731" s="7" t="str">
        <f t="shared" si="27"/>
        <v>1005</v>
      </c>
      <c r="C731" s="7" t="str">
        <f>"程英笛"</f>
        <v>程英笛</v>
      </c>
      <c r="D731" s="9">
        <v>11</v>
      </c>
      <c r="E731" s="9">
        <v>6</v>
      </c>
      <c r="F731" s="12" t="s">
        <v>13</v>
      </c>
      <c r="G731" s="11">
        <v>82.1</v>
      </c>
      <c r="H731" s="7"/>
      <c r="I731" s="11">
        <v>82.1</v>
      </c>
    </row>
    <row r="732" s="1" customFormat="1" ht="23" customHeight="1" spans="1:9">
      <c r="A732" s="7" t="str">
        <f>"10050207104"</f>
        <v>10050207104</v>
      </c>
      <c r="B732" s="7" t="str">
        <f t="shared" si="27"/>
        <v>1005</v>
      </c>
      <c r="C732" s="7" t="str">
        <f>"张嘉乐"</f>
        <v>张嘉乐</v>
      </c>
      <c r="D732" s="9">
        <v>11</v>
      </c>
      <c r="E732" s="9">
        <v>7</v>
      </c>
      <c r="F732" s="12" t="s">
        <v>13</v>
      </c>
      <c r="G732" s="11">
        <v>84.08</v>
      </c>
      <c r="H732" s="7"/>
      <c r="I732" s="11">
        <v>84.08</v>
      </c>
    </row>
    <row r="733" s="1" customFormat="1" ht="23" customHeight="1" spans="1:9">
      <c r="A733" s="7" t="str">
        <f>"10050207214"</f>
        <v>10050207214</v>
      </c>
      <c r="B733" s="7" t="str">
        <f t="shared" si="27"/>
        <v>1005</v>
      </c>
      <c r="C733" s="7" t="str">
        <f>"杨一曼"</f>
        <v>杨一曼</v>
      </c>
      <c r="D733" s="9">
        <v>11</v>
      </c>
      <c r="E733" s="9">
        <v>8</v>
      </c>
      <c r="F733" s="12" t="s">
        <v>13</v>
      </c>
      <c r="G733" s="11">
        <v>82.82</v>
      </c>
      <c r="H733" s="7"/>
      <c r="I733" s="11">
        <v>82.82</v>
      </c>
    </row>
    <row r="734" s="1" customFormat="1" ht="23" customHeight="1" spans="1:9">
      <c r="A734" s="7" t="str">
        <f>"10050207103"</f>
        <v>10050207103</v>
      </c>
      <c r="B734" s="7" t="str">
        <f t="shared" si="27"/>
        <v>1005</v>
      </c>
      <c r="C734" s="7" t="str">
        <f>"丁小静"</f>
        <v>丁小静</v>
      </c>
      <c r="D734" s="9">
        <v>11</v>
      </c>
      <c r="E734" s="9">
        <v>9</v>
      </c>
      <c r="F734" s="12" t="s">
        <v>13</v>
      </c>
      <c r="G734" s="11">
        <v>83.76</v>
      </c>
      <c r="H734" s="7"/>
      <c r="I734" s="11">
        <v>83.76</v>
      </c>
    </row>
    <row r="735" s="1" customFormat="1" ht="23" customHeight="1" spans="1:9">
      <c r="A735" s="7" t="str">
        <f>"10050207218"</f>
        <v>10050207218</v>
      </c>
      <c r="B735" s="7" t="str">
        <f t="shared" si="27"/>
        <v>1005</v>
      </c>
      <c r="C735" s="7" t="str">
        <f>"张紫涵"</f>
        <v>张紫涵</v>
      </c>
      <c r="D735" s="9">
        <v>11</v>
      </c>
      <c r="E735" s="9">
        <v>10</v>
      </c>
      <c r="F735" s="12" t="s">
        <v>13</v>
      </c>
      <c r="G735" s="11">
        <v>82.48</v>
      </c>
      <c r="H735" s="7"/>
      <c r="I735" s="11">
        <v>82.48</v>
      </c>
    </row>
    <row r="736" s="1" customFormat="1" ht="23" customHeight="1" spans="1:9">
      <c r="A736" s="7" t="str">
        <f>"10050207014"</f>
        <v>10050207014</v>
      </c>
      <c r="B736" s="7" t="str">
        <f t="shared" si="27"/>
        <v>1005</v>
      </c>
      <c r="C736" s="7" t="str">
        <f>"苏亚昆"</f>
        <v>苏亚昆</v>
      </c>
      <c r="D736" s="9">
        <v>11</v>
      </c>
      <c r="E736" s="10" t="s">
        <v>11</v>
      </c>
      <c r="F736" s="12" t="s">
        <v>13</v>
      </c>
      <c r="G736" s="12" t="s">
        <v>11</v>
      </c>
      <c r="H736" s="7"/>
      <c r="I736" s="12" t="s">
        <v>11</v>
      </c>
    </row>
    <row r="737" s="1" customFormat="1" ht="23" customHeight="1" spans="1:9">
      <c r="A737" s="7" t="str">
        <f>"10060207404"</f>
        <v>10060207404</v>
      </c>
      <c r="B737" s="7" t="str">
        <f t="shared" ref="B737:B746" si="28">"1006"</f>
        <v>1006</v>
      </c>
      <c r="C737" s="7" t="str">
        <f>"张铜豆"</f>
        <v>张铜豆</v>
      </c>
      <c r="D737" s="9">
        <v>12</v>
      </c>
      <c r="E737" s="9">
        <v>1</v>
      </c>
      <c r="F737" s="12" t="s">
        <v>13</v>
      </c>
      <c r="G737" s="11">
        <v>83.36</v>
      </c>
      <c r="H737" s="7"/>
      <c r="I737" s="11">
        <v>83.36</v>
      </c>
    </row>
    <row r="738" s="1" customFormat="1" ht="23" customHeight="1" spans="1:9">
      <c r="A738" s="7" t="str">
        <f>"10060207309"</f>
        <v>10060207309</v>
      </c>
      <c r="B738" s="7" t="str">
        <f t="shared" si="28"/>
        <v>1006</v>
      </c>
      <c r="C738" s="7" t="str">
        <f>"刘碟"</f>
        <v>刘碟</v>
      </c>
      <c r="D738" s="9">
        <v>12</v>
      </c>
      <c r="E738" s="9">
        <v>2</v>
      </c>
      <c r="F738" s="12" t="s">
        <v>13</v>
      </c>
      <c r="G738" s="11">
        <v>84.32</v>
      </c>
      <c r="H738" s="7"/>
      <c r="I738" s="11">
        <v>84.32</v>
      </c>
    </row>
    <row r="739" s="1" customFormat="1" ht="23" customHeight="1" spans="1:9">
      <c r="A739" s="7" t="str">
        <f>"10060207429"</f>
        <v>10060207429</v>
      </c>
      <c r="B739" s="7" t="str">
        <f t="shared" si="28"/>
        <v>1006</v>
      </c>
      <c r="C739" s="7" t="str">
        <f>"刘怡萌"</f>
        <v>刘怡萌</v>
      </c>
      <c r="D739" s="9">
        <v>12</v>
      </c>
      <c r="E739" s="9">
        <v>3</v>
      </c>
      <c r="F739" s="12" t="s">
        <v>13</v>
      </c>
      <c r="G739" s="11">
        <v>83.34</v>
      </c>
      <c r="H739" s="7"/>
      <c r="I739" s="11">
        <v>83.34</v>
      </c>
    </row>
    <row r="740" s="1" customFormat="1" ht="23" customHeight="1" spans="1:9">
      <c r="A740" s="7" t="str">
        <f>"10060207514"</f>
        <v>10060207514</v>
      </c>
      <c r="B740" s="7" t="str">
        <f t="shared" si="28"/>
        <v>1006</v>
      </c>
      <c r="C740" s="7" t="str">
        <f>"赵梦"</f>
        <v>赵梦</v>
      </c>
      <c r="D740" s="9">
        <v>12</v>
      </c>
      <c r="E740" s="9">
        <v>4</v>
      </c>
      <c r="F740" s="12" t="s">
        <v>13</v>
      </c>
      <c r="G740" s="11">
        <v>82.1</v>
      </c>
      <c r="H740" s="7"/>
      <c r="I740" s="11">
        <v>82.1</v>
      </c>
    </row>
    <row r="741" s="1" customFormat="1" ht="23" customHeight="1" spans="1:9">
      <c r="A741" s="7" t="str">
        <f>"10060207401"</f>
        <v>10060207401</v>
      </c>
      <c r="B741" s="7" t="str">
        <f t="shared" si="28"/>
        <v>1006</v>
      </c>
      <c r="C741" s="7" t="str">
        <f>"高昂"</f>
        <v>高昂</v>
      </c>
      <c r="D741" s="9">
        <v>12</v>
      </c>
      <c r="E741" s="9">
        <v>5</v>
      </c>
      <c r="F741" s="12" t="s">
        <v>13</v>
      </c>
      <c r="G741" s="11">
        <v>84.72</v>
      </c>
      <c r="H741" s="7"/>
      <c r="I741" s="11">
        <v>84.72</v>
      </c>
    </row>
    <row r="742" s="1" customFormat="1" ht="23" customHeight="1" spans="1:9">
      <c r="A742" s="7" t="str">
        <f>"10060207314"</f>
        <v>10060207314</v>
      </c>
      <c r="B742" s="7" t="str">
        <f t="shared" si="28"/>
        <v>1006</v>
      </c>
      <c r="C742" s="7" t="str">
        <f>"于静波"</f>
        <v>于静波</v>
      </c>
      <c r="D742" s="9">
        <v>12</v>
      </c>
      <c r="E742" s="9">
        <v>6</v>
      </c>
      <c r="F742" s="12" t="s">
        <v>13</v>
      </c>
      <c r="G742" s="11">
        <v>84.22</v>
      </c>
      <c r="H742" s="7"/>
      <c r="I742" s="11">
        <v>84.22</v>
      </c>
    </row>
    <row r="743" s="1" customFormat="1" ht="23" customHeight="1" spans="1:9">
      <c r="A743" s="7" t="str">
        <f>"10060207504"</f>
        <v>10060207504</v>
      </c>
      <c r="B743" s="7" t="str">
        <f t="shared" si="28"/>
        <v>1006</v>
      </c>
      <c r="C743" s="7" t="str">
        <f>"武伟晴"</f>
        <v>武伟晴</v>
      </c>
      <c r="D743" s="9">
        <v>12</v>
      </c>
      <c r="E743" s="9">
        <v>7</v>
      </c>
      <c r="F743" s="12" t="s">
        <v>13</v>
      </c>
      <c r="G743" s="11">
        <v>82.78</v>
      </c>
      <c r="H743" s="7"/>
      <c r="I743" s="11">
        <v>82.78</v>
      </c>
    </row>
    <row r="744" s="1" customFormat="1" ht="23" customHeight="1" spans="1:9">
      <c r="A744" s="7" t="str">
        <f>"10060207407"</f>
        <v>10060207407</v>
      </c>
      <c r="B744" s="7" t="str">
        <f t="shared" si="28"/>
        <v>1006</v>
      </c>
      <c r="C744" s="7" t="str">
        <f>"韩丽"</f>
        <v>韩丽</v>
      </c>
      <c r="D744" s="9">
        <v>12</v>
      </c>
      <c r="E744" s="9">
        <v>8</v>
      </c>
      <c r="F744" s="12" t="s">
        <v>13</v>
      </c>
      <c r="G744" s="11">
        <v>82.68</v>
      </c>
      <c r="H744" s="7"/>
      <c r="I744" s="11">
        <v>82.68</v>
      </c>
    </row>
    <row r="745" s="1" customFormat="1" ht="23" customHeight="1" spans="1:9">
      <c r="A745" s="7" t="str">
        <f>"10060207410"</f>
        <v>10060207410</v>
      </c>
      <c r="B745" s="7" t="str">
        <f t="shared" si="28"/>
        <v>1006</v>
      </c>
      <c r="C745" s="7" t="str">
        <f>"胡婷婷"</f>
        <v>胡婷婷</v>
      </c>
      <c r="D745" s="9">
        <v>12</v>
      </c>
      <c r="E745" s="9">
        <v>9</v>
      </c>
      <c r="F745" s="12" t="s">
        <v>13</v>
      </c>
      <c r="G745" s="11">
        <v>82.64</v>
      </c>
      <c r="H745" s="7"/>
      <c r="I745" s="11">
        <v>82.64</v>
      </c>
    </row>
    <row r="746" s="1" customFormat="1" ht="23" customHeight="1" spans="1:9">
      <c r="A746" s="7" t="str">
        <f>"10060207302"</f>
        <v>10060207302</v>
      </c>
      <c r="B746" s="7" t="str">
        <f t="shared" si="28"/>
        <v>1006</v>
      </c>
      <c r="C746" s="7" t="str">
        <f>"孟丽君"</f>
        <v>孟丽君</v>
      </c>
      <c r="D746" s="9">
        <v>12</v>
      </c>
      <c r="E746" s="9">
        <v>10</v>
      </c>
      <c r="F746" s="12" t="s">
        <v>13</v>
      </c>
      <c r="G746" s="11">
        <v>83.24</v>
      </c>
      <c r="H746" s="7"/>
      <c r="I746" s="11">
        <v>83.24</v>
      </c>
    </row>
    <row r="747" s="1" customFormat="1" ht="23" customHeight="1" spans="1:9">
      <c r="A747" s="7" t="str">
        <f>"10070207712"</f>
        <v>10070207712</v>
      </c>
      <c r="B747" s="7" t="str">
        <f t="shared" ref="B747:B758" si="29">"1007"</f>
        <v>1007</v>
      </c>
      <c r="C747" s="7" t="str">
        <f>"王嘉琪"</f>
        <v>王嘉琪</v>
      </c>
      <c r="D747" s="9">
        <v>13</v>
      </c>
      <c r="E747" s="9">
        <v>1</v>
      </c>
      <c r="F747" s="12" t="s">
        <v>13</v>
      </c>
      <c r="G747" s="11">
        <v>84.32</v>
      </c>
      <c r="H747" s="7"/>
      <c r="I747" s="11">
        <v>84.32</v>
      </c>
    </row>
    <row r="748" s="1" customFormat="1" ht="23" customHeight="1" spans="1:9">
      <c r="A748" s="7" t="str">
        <f>"10070207525"</f>
        <v>10070207525</v>
      </c>
      <c r="B748" s="7" t="str">
        <f t="shared" si="29"/>
        <v>1007</v>
      </c>
      <c r="C748" s="7" t="str">
        <f>"王佩佩"</f>
        <v>王佩佩</v>
      </c>
      <c r="D748" s="9">
        <v>13</v>
      </c>
      <c r="E748" s="9">
        <v>2</v>
      </c>
      <c r="F748" s="12" t="s">
        <v>13</v>
      </c>
      <c r="G748" s="11">
        <v>83.8</v>
      </c>
      <c r="H748" s="7"/>
      <c r="I748" s="11">
        <v>83.8</v>
      </c>
    </row>
    <row r="749" s="1" customFormat="1" ht="23" customHeight="1" spans="1:9">
      <c r="A749" s="7" t="str">
        <f>"10070207717"</f>
        <v>10070207717</v>
      </c>
      <c r="B749" s="7" t="str">
        <f t="shared" si="29"/>
        <v>1007</v>
      </c>
      <c r="C749" s="7" t="str">
        <f>"宗豹"</f>
        <v>宗豹</v>
      </c>
      <c r="D749" s="9">
        <v>13</v>
      </c>
      <c r="E749" s="9">
        <v>3</v>
      </c>
      <c r="F749" s="12" t="s">
        <v>13</v>
      </c>
      <c r="G749" s="11">
        <v>84.12</v>
      </c>
      <c r="H749" s="7"/>
      <c r="I749" s="11">
        <v>84.12</v>
      </c>
    </row>
    <row r="750" s="1" customFormat="1" ht="23" customHeight="1" spans="1:9">
      <c r="A750" s="7" t="str">
        <f>"10070207624"</f>
        <v>10070207624</v>
      </c>
      <c r="B750" s="7" t="str">
        <f t="shared" si="29"/>
        <v>1007</v>
      </c>
      <c r="C750" s="7" t="str">
        <f>"徐永丽"</f>
        <v>徐永丽</v>
      </c>
      <c r="D750" s="9">
        <v>13</v>
      </c>
      <c r="E750" s="14">
        <v>4</v>
      </c>
      <c r="F750" s="12" t="s">
        <v>13</v>
      </c>
      <c r="G750" s="15">
        <v>83.48</v>
      </c>
      <c r="H750" s="7"/>
      <c r="I750" s="15">
        <v>83.48</v>
      </c>
    </row>
    <row r="751" s="1" customFormat="1" ht="23" customHeight="1" spans="1:9">
      <c r="A751" s="7" t="str">
        <f>"10070207713"</f>
        <v>10070207713</v>
      </c>
      <c r="B751" s="7" t="str">
        <f t="shared" si="29"/>
        <v>1007</v>
      </c>
      <c r="C751" s="7" t="str">
        <f>"杨祎"</f>
        <v>杨祎</v>
      </c>
      <c r="D751" s="9">
        <v>13</v>
      </c>
      <c r="E751" s="9">
        <v>5</v>
      </c>
      <c r="F751" s="12" t="s">
        <v>13</v>
      </c>
      <c r="G751" s="11">
        <v>82.04</v>
      </c>
      <c r="H751" s="7"/>
      <c r="I751" s="11">
        <v>82.04</v>
      </c>
    </row>
    <row r="752" s="1" customFormat="1" ht="23" customHeight="1" spans="1:9">
      <c r="A752" s="7" t="str">
        <f>"10070207613"</f>
        <v>10070207613</v>
      </c>
      <c r="B752" s="7" t="str">
        <f t="shared" si="29"/>
        <v>1007</v>
      </c>
      <c r="C752" s="7" t="str">
        <f>"禹宝珠"</f>
        <v>禹宝珠</v>
      </c>
      <c r="D752" s="9">
        <v>13</v>
      </c>
      <c r="E752" s="9">
        <v>6</v>
      </c>
      <c r="F752" s="12" t="s">
        <v>13</v>
      </c>
      <c r="G752" s="11">
        <v>81.88</v>
      </c>
      <c r="H752" s="7"/>
      <c r="I752" s="11">
        <v>81.88</v>
      </c>
    </row>
    <row r="753" s="1" customFormat="1" ht="23" customHeight="1" spans="1:9">
      <c r="A753" s="7" t="str">
        <f>"10070207605"</f>
        <v>10070207605</v>
      </c>
      <c r="B753" s="7" t="str">
        <f t="shared" si="29"/>
        <v>1007</v>
      </c>
      <c r="C753" s="7" t="str">
        <f>"吕麒帆"</f>
        <v>吕麒帆</v>
      </c>
      <c r="D753" s="9">
        <v>13</v>
      </c>
      <c r="E753" s="9">
        <v>7</v>
      </c>
      <c r="F753" s="12" t="s">
        <v>13</v>
      </c>
      <c r="G753" s="11">
        <v>83.8</v>
      </c>
      <c r="H753" s="7"/>
      <c r="I753" s="11">
        <v>83.8</v>
      </c>
    </row>
    <row r="754" s="1" customFormat="1" ht="23" customHeight="1" spans="1:9">
      <c r="A754" s="7" t="str">
        <f>"10070207618"</f>
        <v>10070207618</v>
      </c>
      <c r="B754" s="7" t="str">
        <f t="shared" si="29"/>
        <v>1007</v>
      </c>
      <c r="C754" s="7" t="str">
        <f>"张茜"</f>
        <v>张茜</v>
      </c>
      <c r="D754" s="9">
        <v>13</v>
      </c>
      <c r="E754" s="14">
        <v>8</v>
      </c>
      <c r="F754" s="12" t="s">
        <v>13</v>
      </c>
      <c r="G754" s="15">
        <v>82.68</v>
      </c>
      <c r="H754" s="7"/>
      <c r="I754" s="15">
        <v>82.68</v>
      </c>
    </row>
    <row r="755" s="1" customFormat="1" ht="23" customHeight="1" spans="1:9">
      <c r="A755" s="7" t="str">
        <f>"10070207528"</f>
        <v>10070207528</v>
      </c>
      <c r="B755" s="7" t="str">
        <f t="shared" si="29"/>
        <v>1007</v>
      </c>
      <c r="C755" s="7" t="str">
        <f>"汪明"</f>
        <v>汪明</v>
      </c>
      <c r="D755" s="9">
        <v>13</v>
      </c>
      <c r="E755" s="9">
        <v>9</v>
      </c>
      <c r="F755" s="12" t="s">
        <v>13</v>
      </c>
      <c r="G755" s="11">
        <v>83.26</v>
      </c>
      <c r="H755" s="7"/>
      <c r="I755" s="11">
        <v>83.26</v>
      </c>
    </row>
    <row r="756" s="1" customFormat="1" ht="23" customHeight="1" spans="1:9">
      <c r="A756" s="7" t="str">
        <f>"10070207730"</f>
        <v>10070207730</v>
      </c>
      <c r="B756" s="7" t="str">
        <f t="shared" si="29"/>
        <v>1007</v>
      </c>
      <c r="C756" s="7" t="str">
        <f>"彭玉静"</f>
        <v>彭玉静</v>
      </c>
      <c r="D756" s="9">
        <v>13</v>
      </c>
      <c r="E756" s="9">
        <v>10</v>
      </c>
      <c r="F756" s="12" t="s">
        <v>13</v>
      </c>
      <c r="G756" s="11">
        <v>83.6</v>
      </c>
      <c r="H756" s="7"/>
      <c r="I756" s="11">
        <v>83.6</v>
      </c>
    </row>
    <row r="757" s="1" customFormat="1" ht="23" customHeight="1" spans="1:9">
      <c r="A757" s="7" t="str">
        <f>"10070207715"</f>
        <v>10070207715</v>
      </c>
      <c r="B757" s="7" t="str">
        <f t="shared" si="29"/>
        <v>1007</v>
      </c>
      <c r="C757" s="7" t="str">
        <f>"贾博"</f>
        <v>贾博</v>
      </c>
      <c r="D757" s="9">
        <v>13</v>
      </c>
      <c r="E757" s="9">
        <v>11</v>
      </c>
      <c r="F757" s="12" t="s">
        <v>13</v>
      </c>
      <c r="G757" s="11">
        <v>80.56</v>
      </c>
      <c r="H757" s="7"/>
      <c r="I757" s="11">
        <v>80.56</v>
      </c>
    </row>
    <row r="758" s="1" customFormat="1" ht="23" customHeight="1" spans="1:9">
      <c r="A758" s="7" t="str">
        <f>"10070207718"</f>
        <v>10070207718</v>
      </c>
      <c r="B758" s="7" t="str">
        <f t="shared" si="29"/>
        <v>1007</v>
      </c>
      <c r="C758" s="7" t="str">
        <f>"祖郭林"</f>
        <v>祖郭林</v>
      </c>
      <c r="D758" s="9">
        <v>13</v>
      </c>
      <c r="E758" s="9">
        <v>12</v>
      </c>
      <c r="F758" s="12" t="s">
        <v>13</v>
      </c>
      <c r="G758" s="11">
        <v>82.48</v>
      </c>
      <c r="H758" s="7"/>
      <c r="I758" s="11">
        <v>82.48</v>
      </c>
    </row>
    <row r="759" s="1" customFormat="1" ht="23" customHeight="1" spans="1:9">
      <c r="A759" s="7" t="str">
        <f>"10080207919"</f>
        <v>10080207919</v>
      </c>
      <c r="B759" s="7" t="str">
        <f t="shared" ref="B759:B769" si="30">"1008"</f>
        <v>1008</v>
      </c>
      <c r="C759" s="7" t="str">
        <f>"余叶"</f>
        <v>余叶</v>
      </c>
      <c r="D759" s="9">
        <v>14</v>
      </c>
      <c r="E759" s="9">
        <v>1</v>
      </c>
      <c r="F759" s="12" t="s">
        <v>13</v>
      </c>
      <c r="G759" s="11">
        <v>81.52</v>
      </c>
      <c r="H759" s="7"/>
      <c r="I759" s="11">
        <v>81.52</v>
      </c>
    </row>
    <row r="760" s="1" customFormat="1" ht="23" customHeight="1" spans="1:9">
      <c r="A760" s="7" t="str">
        <f>"10080207829"</f>
        <v>10080207829</v>
      </c>
      <c r="B760" s="7" t="str">
        <f t="shared" si="30"/>
        <v>1008</v>
      </c>
      <c r="C760" s="7" t="str">
        <f>"鲁月"</f>
        <v>鲁月</v>
      </c>
      <c r="D760" s="9">
        <v>14</v>
      </c>
      <c r="E760" s="9">
        <v>2</v>
      </c>
      <c r="F760" s="12" t="s">
        <v>13</v>
      </c>
      <c r="G760" s="11">
        <v>82.62</v>
      </c>
      <c r="H760" s="7"/>
      <c r="I760" s="11">
        <v>82.62</v>
      </c>
    </row>
    <row r="761" s="1" customFormat="1" ht="23" customHeight="1" spans="1:9">
      <c r="A761" s="7" t="str">
        <f>"10080207812"</f>
        <v>10080207812</v>
      </c>
      <c r="B761" s="7" t="str">
        <f t="shared" si="30"/>
        <v>1008</v>
      </c>
      <c r="C761" s="7" t="str">
        <f>"王利华"</f>
        <v>王利华</v>
      </c>
      <c r="D761" s="9">
        <v>14</v>
      </c>
      <c r="E761" s="9">
        <v>3</v>
      </c>
      <c r="F761" s="12" t="s">
        <v>13</v>
      </c>
      <c r="G761" s="11">
        <v>83.58</v>
      </c>
      <c r="H761" s="7"/>
      <c r="I761" s="11">
        <v>83.58</v>
      </c>
    </row>
    <row r="762" s="1" customFormat="1" ht="23" customHeight="1" spans="1:9">
      <c r="A762" s="7" t="str">
        <f>"10080207922"</f>
        <v>10080207922</v>
      </c>
      <c r="B762" s="7" t="str">
        <f t="shared" si="30"/>
        <v>1008</v>
      </c>
      <c r="C762" s="7" t="str">
        <f>"孙俊迪"</f>
        <v>孙俊迪</v>
      </c>
      <c r="D762" s="9">
        <v>14</v>
      </c>
      <c r="E762" s="9">
        <v>4</v>
      </c>
      <c r="F762" s="12" t="s">
        <v>13</v>
      </c>
      <c r="G762" s="11">
        <v>83.78</v>
      </c>
      <c r="H762" s="7"/>
      <c r="I762" s="11">
        <v>83.78</v>
      </c>
    </row>
    <row r="763" s="1" customFormat="1" ht="23" customHeight="1" spans="1:9">
      <c r="A763" s="7" t="str">
        <f>"10080207909"</f>
        <v>10080207909</v>
      </c>
      <c r="B763" s="7" t="str">
        <f t="shared" si="30"/>
        <v>1008</v>
      </c>
      <c r="C763" s="7" t="str">
        <f>"陈慧娴"</f>
        <v>陈慧娴</v>
      </c>
      <c r="D763" s="9">
        <v>14</v>
      </c>
      <c r="E763" s="9">
        <v>5</v>
      </c>
      <c r="F763" s="12" t="s">
        <v>13</v>
      </c>
      <c r="G763" s="11">
        <v>84.1</v>
      </c>
      <c r="H763" s="7"/>
      <c r="I763" s="11">
        <v>84.1</v>
      </c>
    </row>
    <row r="764" s="1" customFormat="1" ht="23" customHeight="1" spans="1:9">
      <c r="A764" s="7" t="str">
        <f>"10080208002"</f>
        <v>10080208002</v>
      </c>
      <c r="B764" s="7" t="str">
        <f t="shared" si="30"/>
        <v>1008</v>
      </c>
      <c r="C764" s="7" t="str">
        <f>"高静雯"</f>
        <v>高静雯</v>
      </c>
      <c r="D764" s="9">
        <v>14</v>
      </c>
      <c r="E764" s="9">
        <v>6</v>
      </c>
      <c r="F764" s="12" t="s">
        <v>13</v>
      </c>
      <c r="G764" s="11">
        <v>84</v>
      </c>
      <c r="H764" s="7"/>
      <c r="I764" s="11">
        <v>84</v>
      </c>
    </row>
    <row r="765" s="1" customFormat="1" ht="23" customHeight="1" spans="1:9">
      <c r="A765" s="7" t="str">
        <f>"10080207807"</f>
        <v>10080207807</v>
      </c>
      <c r="B765" s="7" t="str">
        <f t="shared" si="30"/>
        <v>1008</v>
      </c>
      <c r="C765" s="7" t="str">
        <f>"赵凤田"</f>
        <v>赵凤田</v>
      </c>
      <c r="D765" s="9">
        <v>14</v>
      </c>
      <c r="E765" s="9">
        <v>7</v>
      </c>
      <c r="F765" s="12" t="s">
        <v>13</v>
      </c>
      <c r="G765" s="11">
        <v>81.94</v>
      </c>
      <c r="H765" s="7"/>
      <c r="I765" s="11">
        <v>81.94</v>
      </c>
    </row>
    <row r="766" s="1" customFormat="1" ht="23" customHeight="1" spans="1:9">
      <c r="A766" s="7" t="str">
        <f>"10080208007"</f>
        <v>10080208007</v>
      </c>
      <c r="B766" s="7" t="str">
        <f t="shared" si="30"/>
        <v>1008</v>
      </c>
      <c r="C766" s="7" t="str">
        <f>"葛明镜"</f>
        <v>葛明镜</v>
      </c>
      <c r="D766" s="9">
        <v>14</v>
      </c>
      <c r="E766" s="9">
        <v>8</v>
      </c>
      <c r="F766" s="12" t="s">
        <v>13</v>
      </c>
      <c r="G766" s="11">
        <v>81.1</v>
      </c>
      <c r="H766" s="7"/>
      <c r="I766" s="11">
        <v>81.1</v>
      </c>
    </row>
    <row r="767" s="1" customFormat="1" ht="23" customHeight="1" spans="1:9">
      <c r="A767" s="7" t="str">
        <f>"10080207914"</f>
        <v>10080207914</v>
      </c>
      <c r="B767" s="7" t="str">
        <f t="shared" si="30"/>
        <v>1008</v>
      </c>
      <c r="C767" s="7" t="str">
        <f>"南鑫"</f>
        <v>南鑫</v>
      </c>
      <c r="D767" s="9">
        <v>14</v>
      </c>
      <c r="E767" s="9">
        <v>9</v>
      </c>
      <c r="F767" s="12" t="s">
        <v>13</v>
      </c>
      <c r="G767" s="11">
        <v>82.9</v>
      </c>
      <c r="H767" s="7"/>
      <c r="I767" s="11">
        <v>82.9</v>
      </c>
    </row>
    <row r="768" s="1" customFormat="1" ht="23" customHeight="1" spans="1:9">
      <c r="A768" s="7" t="str">
        <f>"10080207901"</f>
        <v>10080207901</v>
      </c>
      <c r="B768" s="7" t="str">
        <f t="shared" si="30"/>
        <v>1008</v>
      </c>
      <c r="C768" s="7" t="str">
        <f>"马晓雨"</f>
        <v>马晓雨</v>
      </c>
      <c r="D768" s="9">
        <v>14</v>
      </c>
      <c r="E768" s="9">
        <v>10</v>
      </c>
      <c r="F768" s="12" t="s">
        <v>13</v>
      </c>
      <c r="G768" s="11">
        <v>82.4</v>
      </c>
      <c r="H768" s="7"/>
      <c r="I768" s="11">
        <v>82.4</v>
      </c>
    </row>
    <row r="769" s="1" customFormat="1" ht="23" customHeight="1" spans="1:9">
      <c r="A769" s="7" t="str">
        <f>"10080207912"</f>
        <v>10080207912</v>
      </c>
      <c r="B769" s="7" t="str">
        <f t="shared" si="30"/>
        <v>1008</v>
      </c>
      <c r="C769" s="7" t="str">
        <f>"张蓝天"</f>
        <v>张蓝天</v>
      </c>
      <c r="D769" s="9">
        <v>14</v>
      </c>
      <c r="E769" s="10" t="s">
        <v>11</v>
      </c>
      <c r="F769" s="12" t="s">
        <v>13</v>
      </c>
      <c r="G769" s="12" t="s">
        <v>11</v>
      </c>
      <c r="H769" s="7"/>
      <c r="I769" s="12" t="s">
        <v>11</v>
      </c>
    </row>
    <row r="770" s="1" customFormat="1" ht="23" customHeight="1" spans="1:9">
      <c r="A770" s="7" t="str">
        <f>"10090208024"</f>
        <v>10090208024</v>
      </c>
      <c r="B770" s="7" t="str">
        <f t="shared" ref="B770:B780" si="31">"1009"</f>
        <v>1009</v>
      </c>
      <c r="C770" s="7" t="str">
        <f>"倪驰"</f>
        <v>倪驰</v>
      </c>
      <c r="D770" s="9">
        <v>15</v>
      </c>
      <c r="E770" s="9">
        <v>1</v>
      </c>
      <c r="F770" s="12" t="s">
        <v>13</v>
      </c>
      <c r="G770" s="11">
        <v>77.52</v>
      </c>
      <c r="H770" s="7"/>
      <c r="I770" s="11">
        <v>77.52</v>
      </c>
    </row>
    <row r="771" s="1" customFormat="1" ht="23" customHeight="1" spans="1:9">
      <c r="A771" s="7" t="str">
        <f>"10090208020"</f>
        <v>10090208020</v>
      </c>
      <c r="B771" s="7" t="str">
        <f t="shared" si="31"/>
        <v>1009</v>
      </c>
      <c r="C771" s="7" t="str">
        <f>"王润慈"</f>
        <v>王润慈</v>
      </c>
      <c r="D771" s="9">
        <v>15</v>
      </c>
      <c r="E771" s="9">
        <v>2</v>
      </c>
      <c r="F771" s="12" t="s">
        <v>13</v>
      </c>
      <c r="G771" s="11">
        <v>77.34</v>
      </c>
      <c r="H771" s="7"/>
      <c r="I771" s="11">
        <v>77.34</v>
      </c>
    </row>
    <row r="772" s="1" customFormat="1" ht="23" customHeight="1" spans="1:9">
      <c r="A772" s="7" t="str">
        <f>"10090208018"</f>
        <v>10090208018</v>
      </c>
      <c r="B772" s="7" t="str">
        <f t="shared" si="31"/>
        <v>1009</v>
      </c>
      <c r="C772" s="7" t="str">
        <f>"刘振锋"</f>
        <v>刘振锋</v>
      </c>
      <c r="D772" s="9">
        <v>15</v>
      </c>
      <c r="E772" s="9">
        <v>3</v>
      </c>
      <c r="F772" s="12" t="s">
        <v>13</v>
      </c>
      <c r="G772" s="11">
        <v>82.18</v>
      </c>
      <c r="H772" s="7"/>
      <c r="I772" s="11">
        <v>82.18</v>
      </c>
    </row>
    <row r="773" s="1" customFormat="1" ht="23" customHeight="1" spans="1:9">
      <c r="A773" s="7" t="str">
        <f>"10090208111"</f>
        <v>10090208111</v>
      </c>
      <c r="B773" s="7" t="str">
        <f t="shared" si="31"/>
        <v>1009</v>
      </c>
      <c r="C773" s="7" t="str">
        <f>"卢玉素"</f>
        <v>卢玉素</v>
      </c>
      <c r="D773" s="9">
        <v>15</v>
      </c>
      <c r="E773" s="9">
        <v>4</v>
      </c>
      <c r="F773" s="12" t="s">
        <v>13</v>
      </c>
      <c r="G773" s="11">
        <v>79.92</v>
      </c>
      <c r="H773" s="7"/>
      <c r="I773" s="11">
        <v>79.92</v>
      </c>
    </row>
    <row r="774" s="1" customFormat="1" ht="23" customHeight="1" spans="1:9">
      <c r="A774" s="7" t="str">
        <f>"10090208114"</f>
        <v>10090208114</v>
      </c>
      <c r="B774" s="7" t="str">
        <f t="shared" si="31"/>
        <v>1009</v>
      </c>
      <c r="C774" s="7" t="str">
        <f>"张淑芳"</f>
        <v>张淑芳</v>
      </c>
      <c r="D774" s="9">
        <v>15</v>
      </c>
      <c r="E774" s="9">
        <v>5</v>
      </c>
      <c r="F774" s="12" t="s">
        <v>13</v>
      </c>
      <c r="G774" s="11">
        <v>81.56</v>
      </c>
      <c r="H774" s="7"/>
      <c r="I774" s="11">
        <v>81.56</v>
      </c>
    </row>
    <row r="775" s="1" customFormat="1" ht="23" customHeight="1" spans="1:9">
      <c r="A775" s="7" t="str">
        <f>"10090208014"</f>
        <v>10090208014</v>
      </c>
      <c r="B775" s="7" t="str">
        <f t="shared" si="31"/>
        <v>1009</v>
      </c>
      <c r="C775" s="7" t="str">
        <f>"王慧慧"</f>
        <v>王慧慧</v>
      </c>
      <c r="D775" s="9">
        <v>15</v>
      </c>
      <c r="E775" s="9">
        <v>6</v>
      </c>
      <c r="F775" s="12" t="s">
        <v>13</v>
      </c>
      <c r="G775" s="11">
        <v>82.18</v>
      </c>
      <c r="H775" s="7"/>
      <c r="I775" s="11">
        <v>82.18</v>
      </c>
    </row>
    <row r="776" s="1" customFormat="1" ht="23" customHeight="1" spans="1:9">
      <c r="A776" s="7" t="str">
        <f>"10090208116"</f>
        <v>10090208116</v>
      </c>
      <c r="B776" s="7" t="str">
        <f t="shared" si="31"/>
        <v>1009</v>
      </c>
      <c r="C776" s="7" t="str">
        <f>"金钰申"</f>
        <v>金钰申</v>
      </c>
      <c r="D776" s="9">
        <v>15</v>
      </c>
      <c r="E776" s="9">
        <v>7</v>
      </c>
      <c r="F776" s="12" t="s">
        <v>13</v>
      </c>
      <c r="G776" s="11">
        <v>80.52</v>
      </c>
      <c r="H776" s="7"/>
      <c r="I776" s="11">
        <v>80.52</v>
      </c>
    </row>
    <row r="777" s="1" customFormat="1" ht="23" customHeight="1" spans="1:9">
      <c r="A777" s="7" t="str">
        <f>"10090208028"</f>
        <v>10090208028</v>
      </c>
      <c r="B777" s="7" t="str">
        <f t="shared" si="31"/>
        <v>1009</v>
      </c>
      <c r="C777" s="7" t="str">
        <f>"孙红雨"</f>
        <v>孙红雨</v>
      </c>
      <c r="D777" s="9">
        <v>15</v>
      </c>
      <c r="E777" s="9">
        <v>8</v>
      </c>
      <c r="F777" s="12" t="s">
        <v>13</v>
      </c>
      <c r="G777" s="11">
        <v>81.38</v>
      </c>
      <c r="H777" s="7"/>
      <c r="I777" s="11">
        <v>81.38</v>
      </c>
    </row>
    <row r="778" s="1" customFormat="1" ht="23" customHeight="1" spans="1:9">
      <c r="A778" s="7" t="str">
        <f>"10090208112"</f>
        <v>10090208112</v>
      </c>
      <c r="B778" s="7" t="str">
        <f t="shared" si="31"/>
        <v>1009</v>
      </c>
      <c r="C778" s="7" t="str">
        <f>"杨孟瑶"</f>
        <v>杨孟瑶</v>
      </c>
      <c r="D778" s="9">
        <v>15</v>
      </c>
      <c r="E778" s="14">
        <v>9</v>
      </c>
      <c r="F778" s="12" t="s">
        <v>13</v>
      </c>
      <c r="G778" s="15">
        <v>82.42</v>
      </c>
      <c r="H778" s="7"/>
      <c r="I778" s="15">
        <v>82.42</v>
      </c>
    </row>
    <row r="779" s="1" customFormat="1" ht="23" customHeight="1" spans="1:9">
      <c r="A779" s="7" t="str">
        <f>"10090208119"</f>
        <v>10090208119</v>
      </c>
      <c r="B779" s="7" t="str">
        <f t="shared" si="31"/>
        <v>1009</v>
      </c>
      <c r="C779" s="7" t="str">
        <f>"王文正"</f>
        <v>王文正</v>
      </c>
      <c r="D779" s="9">
        <v>15</v>
      </c>
      <c r="E779" s="9">
        <v>10</v>
      </c>
      <c r="F779" s="12" t="s">
        <v>13</v>
      </c>
      <c r="G779" s="11">
        <v>82.58</v>
      </c>
      <c r="H779" s="7"/>
      <c r="I779" s="11">
        <v>82.58</v>
      </c>
    </row>
    <row r="780" s="1" customFormat="1" ht="23" customHeight="1" spans="1:9">
      <c r="A780" s="7" t="str">
        <f>"10090208010"</f>
        <v>10090208010</v>
      </c>
      <c r="B780" s="7" t="str">
        <f t="shared" si="31"/>
        <v>1009</v>
      </c>
      <c r="C780" s="7" t="str">
        <f>"王鹏"</f>
        <v>王鹏</v>
      </c>
      <c r="D780" s="9">
        <v>15</v>
      </c>
      <c r="E780" s="9">
        <v>11</v>
      </c>
      <c r="F780" s="12" t="s">
        <v>13</v>
      </c>
      <c r="G780" s="11">
        <v>79.32</v>
      </c>
      <c r="H780" s="7"/>
      <c r="I780" s="11">
        <v>79.32</v>
      </c>
    </row>
    <row r="781" s="1" customFormat="1" ht="23" customHeight="1" spans="1:9">
      <c r="A781" s="7" t="str">
        <f>"60040934427"</f>
        <v>60040934427</v>
      </c>
      <c r="B781" s="7" t="str">
        <f>"6004"</f>
        <v>6004</v>
      </c>
      <c r="C781" s="7" t="str">
        <f>"孙晓艳"</f>
        <v>孙晓艳</v>
      </c>
      <c r="D781" s="9">
        <v>16</v>
      </c>
      <c r="E781" s="9">
        <v>1</v>
      </c>
      <c r="F781" s="12" t="s">
        <v>13</v>
      </c>
      <c r="G781" s="11">
        <v>82.44</v>
      </c>
      <c r="H781" s="7"/>
      <c r="I781" s="11">
        <v>82.44</v>
      </c>
    </row>
    <row r="782" s="1" customFormat="1" ht="23" customHeight="1" spans="1:9">
      <c r="A782" s="7" t="str">
        <f>"60040934429"</f>
        <v>60040934429</v>
      </c>
      <c r="B782" s="7" t="str">
        <f>"6004"</f>
        <v>6004</v>
      </c>
      <c r="C782" s="7" t="str">
        <f>"尚文璐"</f>
        <v>尚文璐</v>
      </c>
      <c r="D782" s="9">
        <v>16</v>
      </c>
      <c r="E782" s="9">
        <v>2</v>
      </c>
      <c r="F782" s="12" t="s">
        <v>13</v>
      </c>
      <c r="G782" s="11">
        <v>81.3</v>
      </c>
      <c r="H782" s="7"/>
      <c r="I782" s="11">
        <v>81.3</v>
      </c>
    </row>
    <row r="783" s="1" customFormat="1" ht="23" customHeight="1" spans="1:9">
      <c r="A783" s="7" t="str">
        <f>"60040934426"</f>
        <v>60040934426</v>
      </c>
      <c r="B783" s="7" t="str">
        <f>"6004"</f>
        <v>6004</v>
      </c>
      <c r="C783" s="7" t="str">
        <f>"张成"</f>
        <v>张成</v>
      </c>
      <c r="D783" s="9">
        <v>16</v>
      </c>
      <c r="E783" s="9">
        <v>3</v>
      </c>
      <c r="F783" s="12" t="s">
        <v>13</v>
      </c>
      <c r="G783" s="11">
        <v>83.4</v>
      </c>
      <c r="H783" s="7"/>
      <c r="I783" s="11">
        <v>83.4</v>
      </c>
    </row>
    <row r="784" s="1" customFormat="1" ht="23" customHeight="1" spans="1:9">
      <c r="A784" s="7" t="str">
        <f>"10100208213"</f>
        <v>10100208213</v>
      </c>
      <c r="B784" s="7" t="str">
        <f t="shared" ref="B784:B791" si="32">"1010"</f>
        <v>1010</v>
      </c>
      <c r="C784" s="7" t="str">
        <f>"王超"</f>
        <v>王超</v>
      </c>
      <c r="D784" s="9">
        <v>16</v>
      </c>
      <c r="E784" s="9">
        <v>4</v>
      </c>
      <c r="F784" s="12" t="s">
        <v>13</v>
      </c>
      <c r="G784" s="11">
        <v>81.84</v>
      </c>
      <c r="H784" s="7"/>
      <c r="I784" s="11">
        <v>81.84</v>
      </c>
    </row>
    <row r="785" s="1" customFormat="1" ht="23" customHeight="1" spans="1:9">
      <c r="A785" s="7" t="str">
        <f>"10100208228"</f>
        <v>10100208228</v>
      </c>
      <c r="B785" s="7" t="str">
        <f t="shared" si="32"/>
        <v>1010</v>
      </c>
      <c r="C785" s="7" t="str">
        <f>"李鸿"</f>
        <v>李鸿</v>
      </c>
      <c r="D785" s="9">
        <v>16</v>
      </c>
      <c r="E785" s="9">
        <v>5</v>
      </c>
      <c r="F785" s="12" t="s">
        <v>13</v>
      </c>
      <c r="G785" s="11">
        <v>81.44</v>
      </c>
      <c r="H785" s="7"/>
      <c r="I785" s="11">
        <v>81.44</v>
      </c>
    </row>
    <row r="786" s="1" customFormat="1" ht="23" customHeight="1" spans="1:9">
      <c r="A786" s="7" t="str">
        <f>"10100208218"</f>
        <v>10100208218</v>
      </c>
      <c r="B786" s="7" t="str">
        <f t="shared" si="32"/>
        <v>1010</v>
      </c>
      <c r="C786" s="7" t="str">
        <f>"潘一波"</f>
        <v>潘一波</v>
      </c>
      <c r="D786" s="9">
        <v>16</v>
      </c>
      <c r="E786" s="9">
        <v>6</v>
      </c>
      <c r="F786" s="12" t="s">
        <v>13</v>
      </c>
      <c r="G786" s="11">
        <v>81.12</v>
      </c>
      <c r="H786" s="7"/>
      <c r="I786" s="11">
        <v>81.12</v>
      </c>
    </row>
    <row r="787" s="1" customFormat="1" ht="23" customHeight="1" spans="1:9">
      <c r="A787" s="7" t="str">
        <f>"10100208214"</f>
        <v>10100208214</v>
      </c>
      <c r="B787" s="7" t="str">
        <f t="shared" si="32"/>
        <v>1010</v>
      </c>
      <c r="C787" s="7" t="str">
        <f>"宋敖"</f>
        <v>宋敖</v>
      </c>
      <c r="D787" s="9">
        <v>16</v>
      </c>
      <c r="E787" s="9">
        <v>7</v>
      </c>
      <c r="F787" s="12" t="s">
        <v>13</v>
      </c>
      <c r="G787" s="11">
        <v>81.58</v>
      </c>
      <c r="H787" s="7"/>
      <c r="I787" s="11">
        <v>81.58</v>
      </c>
    </row>
    <row r="788" s="1" customFormat="1" ht="23" customHeight="1" spans="1:9">
      <c r="A788" s="7" t="str">
        <f>"10100208204"</f>
        <v>10100208204</v>
      </c>
      <c r="B788" s="7" t="str">
        <f t="shared" si="32"/>
        <v>1010</v>
      </c>
      <c r="C788" s="7" t="str">
        <f>"王思齐"</f>
        <v>王思齐</v>
      </c>
      <c r="D788" s="9">
        <v>16</v>
      </c>
      <c r="E788" s="9">
        <v>8</v>
      </c>
      <c r="F788" s="12" t="s">
        <v>13</v>
      </c>
      <c r="G788" s="11">
        <v>83.58</v>
      </c>
      <c r="H788" s="7"/>
      <c r="I788" s="11">
        <v>83.58</v>
      </c>
    </row>
    <row r="789" s="1" customFormat="1" ht="23" customHeight="1" spans="1:9">
      <c r="A789" s="7" t="str">
        <f>"10100208212"</f>
        <v>10100208212</v>
      </c>
      <c r="B789" s="7" t="str">
        <f t="shared" si="32"/>
        <v>1010</v>
      </c>
      <c r="C789" s="7" t="str">
        <f>"李辉"</f>
        <v>李辉</v>
      </c>
      <c r="D789" s="9">
        <v>16</v>
      </c>
      <c r="E789" s="9">
        <v>9</v>
      </c>
      <c r="F789" s="12" t="s">
        <v>13</v>
      </c>
      <c r="G789" s="11">
        <v>82.42</v>
      </c>
      <c r="H789" s="7"/>
      <c r="I789" s="11">
        <v>82.42</v>
      </c>
    </row>
    <row r="790" s="1" customFormat="1" ht="23" customHeight="1" spans="1:9">
      <c r="A790" s="7" t="str">
        <f>"10100208321"</f>
        <v>10100208321</v>
      </c>
      <c r="B790" s="7" t="str">
        <f t="shared" si="32"/>
        <v>1010</v>
      </c>
      <c r="C790" s="7" t="str">
        <f>"刘黎明"</f>
        <v>刘黎明</v>
      </c>
      <c r="D790" s="9">
        <v>16</v>
      </c>
      <c r="E790" s="14">
        <v>10</v>
      </c>
      <c r="F790" s="12" t="s">
        <v>13</v>
      </c>
      <c r="G790" s="15">
        <v>82.8</v>
      </c>
      <c r="H790" s="7"/>
      <c r="I790" s="15">
        <v>82.8</v>
      </c>
    </row>
    <row r="791" s="1" customFormat="1" ht="23" customHeight="1" spans="1:9">
      <c r="A791" s="7" t="str">
        <f>"10100208322"</f>
        <v>10100208322</v>
      </c>
      <c r="B791" s="7" t="str">
        <f t="shared" si="32"/>
        <v>1010</v>
      </c>
      <c r="C791" s="7" t="str">
        <f>"杨帅方"</f>
        <v>杨帅方</v>
      </c>
      <c r="D791" s="9">
        <v>16</v>
      </c>
      <c r="E791" s="9">
        <v>11</v>
      </c>
      <c r="F791" s="12" t="s">
        <v>13</v>
      </c>
      <c r="G791" s="11">
        <v>82.78</v>
      </c>
      <c r="H791" s="7"/>
      <c r="I791" s="11">
        <v>82.78</v>
      </c>
    </row>
    <row r="792" s="1" customFormat="1" ht="23" customHeight="1" spans="1:9">
      <c r="A792" s="7" t="str">
        <f>"50040932305"</f>
        <v>50040932305</v>
      </c>
      <c r="B792" s="7" t="str">
        <f t="shared" ref="B792:B799" si="33">"5004"</f>
        <v>5004</v>
      </c>
      <c r="C792" s="7" t="str">
        <f>"李军皞"</f>
        <v>李军皞</v>
      </c>
      <c r="D792" s="9">
        <v>17</v>
      </c>
      <c r="E792" s="9">
        <v>1</v>
      </c>
      <c r="F792" s="12" t="s">
        <v>13</v>
      </c>
      <c r="G792" s="11">
        <v>81.62</v>
      </c>
      <c r="H792" s="7"/>
      <c r="I792" s="11">
        <v>81.62</v>
      </c>
    </row>
    <row r="793" s="1" customFormat="1" ht="23" customHeight="1" spans="1:9">
      <c r="A793" s="7" t="str">
        <f>"50040932509"</f>
        <v>50040932509</v>
      </c>
      <c r="B793" s="7" t="str">
        <f t="shared" si="33"/>
        <v>5004</v>
      </c>
      <c r="C793" s="7" t="str">
        <f>"苏如楠"</f>
        <v>苏如楠</v>
      </c>
      <c r="D793" s="9">
        <v>17</v>
      </c>
      <c r="E793" s="9">
        <v>2</v>
      </c>
      <c r="F793" s="12" t="s">
        <v>13</v>
      </c>
      <c r="G793" s="11">
        <v>82.64</v>
      </c>
      <c r="H793" s="7"/>
      <c r="I793" s="11">
        <v>82.64</v>
      </c>
    </row>
    <row r="794" s="1" customFormat="1" ht="23" customHeight="1" spans="1:9">
      <c r="A794" s="7" t="str">
        <f>"50040932329"</f>
        <v>50040932329</v>
      </c>
      <c r="B794" s="7" t="str">
        <f t="shared" si="33"/>
        <v>5004</v>
      </c>
      <c r="C794" s="7" t="str">
        <f>"赵怡"</f>
        <v>赵怡</v>
      </c>
      <c r="D794" s="9">
        <v>17</v>
      </c>
      <c r="E794" s="9">
        <v>3</v>
      </c>
      <c r="F794" s="12" t="s">
        <v>13</v>
      </c>
      <c r="G794" s="11">
        <v>80.32</v>
      </c>
      <c r="H794" s="7"/>
      <c r="I794" s="11">
        <v>80.32</v>
      </c>
    </row>
    <row r="795" s="1" customFormat="1" ht="23" customHeight="1" spans="1:9">
      <c r="A795" s="7" t="str">
        <f>"50040932416"</f>
        <v>50040932416</v>
      </c>
      <c r="B795" s="7" t="str">
        <f t="shared" si="33"/>
        <v>5004</v>
      </c>
      <c r="C795" s="7" t="str">
        <f>"邱威豪"</f>
        <v>邱威豪</v>
      </c>
      <c r="D795" s="9">
        <v>17</v>
      </c>
      <c r="E795" s="9">
        <v>4</v>
      </c>
      <c r="F795" s="12" t="s">
        <v>13</v>
      </c>
      <c r="G795" s="11">
        <v>80.64</v>
      </c>
      <c r="H795" s="7"/>
      <c r="I795" s="11">
        <v>80.64</v>
      </c>
    </row>
    <row r="796" s="1" customFormat="1" ht="23" customHeight="1" spans="1:9">
      <c r="A796" s="7" t="str">
        <f>"50040932411"</f>
        <v>50040932411</v>
      </c>
      <c r="B796" s="7" t="str">
        <f t="shared" si="33"/>
        <v>5004</v>
      </c>
      <c r="C796" s="7" t="str">
        <f>"李智"</f>
        <v>李智</v>
      </c>
      <c r="D796" s="9">
        <v>17</v>
      </c>
      <c r="E796" s="9">
        <v>5</v>
      </c>
      <c r="F796" s="12" t="s">
        <v>13</v>
      </c>
      <c r="G796" s="11">
        <v>82.16</v>
      </c>
      <c r="H796" s="7"/>
      <c r="I796" s="11">
        <v>82.16</v>
      </c>
    </row>
    <row r="797" s="1" customFormat="1" ht="23" customHeight="1" spans="1:9">
      <c r="A797" s="7" t="str">
        <f>"50040932406"</f>
        <v>50040932406</v>
      </c>
      <c r="B797" s="7" t="str">
        <f t="shared" si="33"/>
        <v>5004</v>
      </c>
      <c r="C797" s="7" t="str">
        <f>"许艳玲"</f>
        <v>许艳玲</v>
      </c>
      <c r="D797" s="9">
        <v>17</v>
      </c>
      <c r="E797" s="14">
        <v>6</v>
      </c>
      <c r="F797" s="12" t="s">
        <v>13</v>
      </c>
      <c r="G797" s="15">
        <v>80.4</v>
      </c>
      <c r="H797" s="7"/>
      <c r="I797" s="15">
        <v>80.4</v>
      </c>
    </row>
    <row r="798" s="1" customFormat="1" ht="23" customHeight="1" spans="1:9">
      <c r="A798" s="7" t="str">
        <f>"50040932512"</f>
        <v>50040932512</v>
      </c>
      <c r="B798" s="7" t="str">
        <f t="shared" si="33"/>
        <v>5004</v>
      </c>
      <c r="C798" s="7" t="str">
        <f>"陈晴"</f>
        <v>陈晴</v>
      </c>
      <c r="D798" s="9">
        <v>17</v>
      </c>
      <c r="E798" s="9">
        <v>7</v>
      </c>
      <c r="F798" s="12" t="s">
        <v>13</v>
      </c>
      <c r="G798" s="11">
        <v>83.04</v>
      </c>
      <c r="H798" s="7"/>
      <c r="I798" s="11">
        <v>83.04</v>
      </c>
    </row>
    <row r="799" s="1" customFormat="1" ht="23" customHeight="1" spans="1:9">
      <c r="A799" s="7" t="str">
        <f>"50040932422"</f>
        <v>50040932422</v>
      </c>
      <c r="B799" s="7" t="str">
        <f t="shared" si="33"/>
        <v>5004</v>
      </c>
      <c r="C799" s="7" t="str">
        <f>"王姿文"</f>
        <v>王姿文</v>
      </c>
      <c r="D799" s="9">
        <v>17</v>
      </c>
      <c r="E799" s="9">
        <v>8</v>
      </c>
      <c r="F799" s="12" t="s">
        <v>13</v>
      </c>
      <c r="G799" s="11">
        <v>81.78</v>
      </c>
      <c r="H799" s="7"/>
      <c r="I799" s="11">
        <v>81.78</v>
      </c>
    </row>
    <row r="800" s="1" customFormat="1" ht="23" customHeight="1" spans="1:9">
      <c r="A800" s="7" t="str">
        <f>"10110208416"</f>
        <v>10110208416</v>
      </c>
      <c r="B800" s="7" t="str">
        <f>"1011"</f>
        <v>1011</v>
      </c>
      <c r="C800" s="7" t="str">
        <f>"吴双"</f>
        <v>吴双</v>
      </c>
      <c r="D800" s="9">
        <v>17</v>
      </c>
      <c r="E800" s="9">
        <v>9</v>
      </c>
      <c r="F800" s="12" t="s">
        <v>13</v>
      </c>
      <c r="G800" s="11">
        <v>82.84</v>
      </c>
      <c r="H800" s="7"/>
      <c r="I800" s="11">
        <v>82.84</v>
      </c>
    </row>
    <row r="801" s="1" customFormat="1" ht="23" customHeight="1" spans="1:9">
      <c r="A801" s="7" t="str">
        <f>"10110208615"</f>
        <v>10110208615</v>
      </c>
      <c r="B801" s="7" t="str">
        <f>"1011"</f>
        <v>1011</v>
      </c>
      <c r="C801" s="7" t="str">
        <f>"王媛媛"</f>
        <v>王媛媛</v>
      </c>
      <c r="D801" s="9">
        <v>17</v>
      </c>
      <c r="E801" s="9">
        <v>10</v>
      </c>
      <c r="F801" s="12" t="s">
        <v>13</v>
      </c>
      <c r="G801" s="11">
        <v>81.18</v>
      </c>
      <c r="H801" s="7"/>
      <c r="I801" s="11">
        <v>81.18</v>
      </c>
    </row>
    <row r="802" s="1" customFormat="1" ht="23" customHeight="1" spans="1:9">
      <c r="A802" s="7" t="str">
        <f>"10110208418"</f>
        <v>10110208418</v>
      </c>
      <c r="B802" s="7" t="str">
        <f>"1011"</f>
        <v>1011</v>
      </c>
      <c r="C802" s="7" t="str">
        <f>"曹涵芮"</f>
        <v>曹涵芮</v>
      </c>
      <c r="D802" s="9">
        <v>17</v>
      </c>
      <c r="E802" s="9">
        <v>11</v>
      </c>
      <c r="F802" s="12" t="s">
        <v>13</v>
      </c>
      <c r="G802" s="11">
        <v>79.46</v>
      </c>
      <c r="H802" s="7"/>
      <c r="I802" s="11">
        <v>79.46</v>
      </c>
    </row>
    <row r="803" s="1" customFormat="1" ht="23" customHeight="1" spans="1:9">
      <c r="A803" s="7" t="str">
        <f>"10110208513"</f>
        <v>10110208513</v>
      </c>
      <c r="B803" s="7" t="str">
        <f>"1011"</f>
        <v>1011</v>
      </c>
      <c r="C803" s="7" t="str">
        <f>"顾佳慧"</f>
        <v>顾佳慧</v>
      </c>
      <c r="D803" s="9">
        <v>17</v>
      </c>
      <c r="E803" s="9">
        <v>12</v>
      </c>
      <c r="F803" s="12" t="s">
        <v>13</v>
      </c>
      <c r="G803" s="11">
        <v>80.2</v>
      </c>
      <c r="H803" s="7"/>
      <c r="I803" s="11">
        <v>80.2</v>
      </c>
    </row>
    <row r="804" s="1" customFormat="1" ht="23" customHeight="1" spans="1:9">
      <c r="A804" s="7" t="str">
        <f>"10110208413"</f>
        <v>10110208413</v>
      </c>
      <c r="B804" s="7" t="str">
        <f>"1011"</f>
        <v>1011</v>
      </c>
      <c r="C804" s="7" t="str">
        <f>"薛媛"</f>
        <v>薛媛</v>
      </c>
      <c r="D804" s="9">
        <v>17</v>
      </c>
      <c r="E804" s="9">
        <v>13</v>
      </c>
      <c r="F804" s="12" t="s">
        <v>13</v>
      </c>
      <c r="G804" s="11">
        <v>81.46</v>
      </c>
      <c r="H804" s="7"/>
      <c r="I804" s="11">
        <v>81.46</v>
      </c>
    </row>
    <row r="805" s="1" customFormat="1" ht="23" customHeight="1" spans="1:9">
      <c r="A805" s="7" t="str">
        <f>"60070100201"</f>
        <v>60070100201</v>
      </c>
      <c r="B805" s="7" t="str">
        <f t="shared" ref="B805:B813" si="34">"6007"</f>
        <v>6007</v>
      </c>
      <c r="C805" s="7" t="str">
        <f>"苏明星"</f>
        <v>苏明星</v>
      </c>
      <c r="D805" s="9">
        <v>18</v>
      </c>
      <c r="E805" s="9">
        <v>1</v>
      </c>
      <c r="F805" s="12" t="s">
        <v>13</v>
      </c>
      <c r="G805" s="11">
        <v>84.14</v>
      </c>
      <c r="H805" s="7"/>
      <c r="I805" s="11">
        <v>84.14</v>
      </c>
    </row>
    <row r="806" s="1" customFormat="1" ht="23" customHeight="1" spans="1:9">
      <c r="A806" s="7" t="str">
        <f>"60070100101"</f>
        <v>60070100101</v>
      </c>
      <c r="B806" s="7" t="str">
        <f t="shared" si="34"/>
        <v>6007</v>
      </c>
      <c r="C806" s="7" t="str">
        <f>"姚佳佳"</f>
        <v>姚佳佳</v>
      </c>
      <c r="D806" s="9">
        <v>18</v>
      </c>
      <c r="E806" s="14">
        <v>2</v>
      </c>
      <c r="F806" s="12" t="s">
        <v>13</v>
      </c>
      <c r="G806" s="15">
        <v>81.12</v>
      </c>
      <c r="H806" s="7"/>
      <c r="I806" s="15">
        <v>81.12</v>
      </c>
    </row>
    <row r="807" s="1" customFormat="1" ht="23" customHeight="1" spans="1:9">
      <c r="A807" s="7" t="str">
        <f>"60070100126"</f>
        <v>60070100126</v>
      </c>
      <c r="B807" s="7" t="str">
        <f t="shared" si="34"/>
        <v>6007</v>
      </c>
      <c r="C807" s="7" t="str">
        <f>"张茹"</f>
        <v>张茹</v>
      </c>
      <c r="D807" s="9">
        <v>18</v>
      </c>
      <c r="E807" s="9">
        <v>3</v>
      </c>
      <c r="F807" s="12" t="s">
        <v>13</v>
      </c>
      <c r="G807" s="11">
        <v>82.76</v>
      </c>
      <c r="H807" s="7"/>
      <c r="I807" s="11">
        <v>82.76</v>
      </c>
    </row>
    <row r="808" s="1" customFormat="1" ht="23" customHeight="1" spans="1:9">
      <c r="A808" s="7" t="str">
        <f>"60070100125"</f>
        <v>60070100125</v>
      </c>
      <c r="B808" s="7" t="str">
        <f t="shared" si="34"/>
        <v>6007</v>
      </c>
      <c r="C808" s="7" t="str">
        <f>"李珂"</f>
        <v>李珂</v>
      </c>
      <c r="D808" s="9">
        <v>18</v>
      </c>
      <c r="E808" s="9">
        <v>4</v>
      </c>
      <c r="F808" s="12" t="s">
        <v>13</v>
      </c>
      <c r="G808" s="11">
        <v>83.52</v>
      </c>
      <c r="H808" s="7"/>
      <c r="I808" s="11">
        <v>83.52</v>
      </c>
    </row>
    <row r="809" s="1" customFormat="1" ht="23" customHeight="1" spans="1:9">
      <c r="A809" s="7" t="str">
        <f>"60070100129"</f>
        <v>60070100129</v>
      </c>
      <c r="B809" s="7" t="str">
        <f t="shared" si="34"/>
        <v>6007</v>
      </c>
      <c r="C809" s="7" t="str">
        <f>"王哲"</f>
        <v>王哲</v>
      </c>
      <c r="D809" s="9">
        <v>18</v>
      </c>
      <c r="E809" s="9">
        <v>5</v>
      </c>
      <c r="F809" s="12" t="s">
        <v>13</v>
      </c>
      <c r="G809" s="11">
        <v>82.92</v>
      </c>
      <c r="H809" s="7"/>
      <c r="I809" s="11">
        <v>82.92</v>
      </c>
    </row>
    <row r="810" s="1" customFormat="1" ht="23" customHeight="1" spans="1:9">
      <c r="A810" s="7" t="str">
        <f>"60070100113"</f>
        <v>60070100113</v>
      </c>
      <c r="B810" s="7" t="str">
        <f t="shared" si="34"/>
        <v>6007</v>
      </c>
      <c r="C810" s="7" t="str">
        <f>"齐祯祺"</f>
        <v>齐祯祺</v>
      </c>
      <c r="D810" s="9">
        <v>18</v>
      </c>
      <c r="E810" s="9">
        <v>6</v>
      </c>
      <c r="F810" s="12" t="s">
        <v>13</v>
      </c>
      <c r="G810" s="11">
        <v>83.66</v>
      </c>
      <c r="H810" s="7"/>
      <c r="I810" s="11">
        <v>83.66</v>
      </c>
    </row>
    <row r="811" s="1" customFormat="1" ht="23" customHeight="1" spans="1:9">
      <c r="A811" s="7" t="str">
        <f>"60070100119"</f>
        <v>60070100119</v>
      </c>
      <c r="B811" s="7" t="str">
        <f t="shared" si="34"/>
        <v>6007</v>
      </c>
      <c r="C811" s="7" t="str">
        <f>"郭行星"</f>
        <v>郭行星</v>
      </c>
      <c r="D811" s="9">
        <v>18</v>
      </c>
      <c r="E811" s="9">
        <v>7</v>
      </c>
      <c r="F811" s="12" t="s">
        <v>13</v>
      </c>
      <c r="G811" s="11">
        <v>83.5</v>
      </c>
      <c r="H811" s="7"/>
      <c r="I811" s="11">
        <v>83.5</v>
      </c>
    </row>
    <row r="812" s="1" customFormat="1" ht="23" customHeight="1" spans="1:9">
      <c r="A812" s="7" t="str">
        <f>"60070100124"</f>
        <v>60070100124</v>
      </c>
      <c r="B812" s="7" t="str">
        <f t="shared" si="34"/>
        <v>6007</v>
      </c>
      <c r="C812" s="7" t="str">
        <f>"宋裕玲"</f>
        <v>宋裕玲</v>
      </c>
      <c r="D812" s="9">
        <v>18</v>
      </c>
      <c r="E812" s="9">
        <v>8</v>
      </c>
      <c r="F812" s="12" t="s">
        <v>13</v>
      </c>
      <c r="G812" s="11">
        <v>83.08</v>
      </c>
      <c r="H812" s="7"/>
      <c r="I812" s="11">
        <v>83.08</v>
      </c>
    </row>
    <row r="813" s="1" customFormat="1" ht="23" customHeight="1" spans="1:9">
      <c r="A813" s="7" t="str">
        <f>"60070100108"</f>
        <v>60070100108</v>
      </c>
      <c r="B813" s="7" t="str">
        <f t="shared" si="34"/>
        <v>6007</v>
      </c>
      <c r="C813" s="7" t="str">
        <f>"王丹"</f>
        <v>王丹</v>
      </c>
      <c r="D813" s="9">
        <v>18</v>
      </c>
      <c r="E813" s="9">
        <v>9</v>
      </c>
      <c r="F813" s="12" t="s">
        <v>13</v>
      </c>
      <c r="G813" s="11">
        <v>82.86</v>
      </c>
      <c r="H813" s="7"/>
      <c r="I813" s="11">
        <v>82.86</v>
      </c>
    </row>
    <row r="814" s="1" customFormat="1" ht="23" customHeight="1" spans="1:9">
      <c r="A814" s="7" t="str">
        <f>"10120208622"</f>
        <v>10120208622</v>
      </c>
      <c r="B814" s="7" t="str">
        <f t="shared" ref="B814:B819" si="35">"1012"</f>
        <v>1012</v>
      </c>
      <c r="C814" s="7" t="str">
        <f>"张林"</f>
        <v>张林</v>
      </c>
      <c r="D814" s="9">
        <v>18</v>
      </c>
      <c r="E814" s="9">
        <v>10</v>
      </c>
      <c r="F814" s="12" t="s">
        <v>13</v>
      </c>
      <c r="G814" s="11">
        <v>81.6</v>
      </c>
      <c r="H814" s="7"/>
      <c r="I814" s="11">
        <v>81.6</v>
      </c>
    </row>
    <row r="815" s="1" customFormat="1" ht="23" customHeight="1" spans="1:9">
      <c r="A815" s="7" t="str">
        <f>"10120208823"</f>
        <v>10120208823</v>
      </c>
      <c r="B815" s="7" t="str">
        <f t="shared" si="35"/>
        <v>1012</v>
      </c>
      <c r="C815" s="7" t="str">
        <f>"时若艺"</f>
        <v>时若艺</v>
      </c>
      <c r="D815" s="9">
        <v>18</v>
      </c>
      <c r="E815" s="9">
        <v>11</v>
      </c>
      <c r="F815" s="12" t="s">
        <v>13</v>
      </c>
      <c r="G815" s="11">
        <v>82.74</v>
      </c>
      <c r="H815" s="7"/>
      <c r="I815" s="11">
        <v>82.74</v>
      </c>
    </row>
    <row r="816" s="1" customFormat="1" ht="23" customHeight="1" spans="1:9">
      <c r="A816" s="7" t="str">
        <f>"10120208829"</f>
        <v>10120208829</v>
      </c>
      <c r="B816" s="7" t="str">
        <f t="shared" si="35"/>
        <v>1012</v>
      </c>
      <c r="C816" s="7" t="str">
        <f>"苏月"</f>
        <v>苏月</v>
      </c>
      <c r="D816" s="9">
        <v>18</v>
      </c>
      <c r="E816" s="9">
        <v>12</v>
      </c>
      <c r="F816" s="12" t="s">
        <v>13</v>
      </c>
      <c r="G816" s="11">
        <v>83.74</v>
      </c>
      <c r="H816" s="7"/>
      <c r="I816" s="11">
        <v>83.74</v>
      </c>
    </row>
    <row r="817" s="1" customFormat="1" ht="23" customHeight="1" spans="1:9">
      <c r="A817" s="7" t="str">
        <f>"10120208725"</f>
        <v>10120208725</v>
      </c>
      <c r="B817" s="7" t="str">
        <f t="shared" si="35"/>
        <v>1012</v>
      </c>
      <c r="C817" s="7" t="str">
        <f>"谷贺莲"</f>
        <v>谷贺莲</v>
      </c>
      <c r="D817" s="9">
        <v>18</v>
      </c>
      <c r="E817" s="9">
        <v>13</v>
      </c>
      <c r="F817" s="12" t="s">
        <v>13</v>
      </c>
      <c r="G817" s="11">
        <v>83.34</v>
      </c>
      <c r="H817" s="7"/>
      <c r="I817" s="11">
        <v>83.34</v>
      </c>
    </row>
    <row r="818" s="1" customFormat="1" ht="23" customHeight="1" spans="1:9">
      <c r="A818" s="7" t="str">
        <f>"10120209015"</f>
        <v>10120209015</v>
      </c>
      <c r="B818" s="7" t="str">
        <f t="shared" si="35"/>
        <v>1012</v>
      </c>
      <c r="C818" s="7" t="str">
        <f>"刘鹤"</f>
        <v>刘鹤</v>
      </c>
      <c r="D818" s="9">
        <v>18</v>
      </c>
      <c r="E818" s="9">
        <v>14</v>
      </c>
      <c r="F818" s="12" t="s">
        <v>13</v>
      </c>
      <c r="G818" s="11">
        <v>82.68</v>
      </c>
      <c r="H818" s="7"/>
      <c r="I818" s="11">
        <v>82.68</v>
      </c>
    </row>
    <row r="819" s="1" customFormat="1" ht="23" customHeight="1" spans="1:9">
      <c r="A819" s="7" t="str">
        <f>"10120208913"</f>
        <v>10120208913</v>
      </c>
      <c r="B819" s="7" t="str">
        <f t="shared" si="35"/>
        <v>1012</v>
      </c>
      <c r="C819" s="7" t="str">
        <f>"张晓菊"</f>
        <v>张晓菊</v>
      </c>
      <c r="D819" s="9">
        <v>18</v>
      </c>
      <c r="E819" s="9">
        <v>15</v>
      </c>
      <c r="F819" s="12" t="s">
        <v>13</v>
      </c>
      <c r="G819" s="11">
        <v>83.78</v>
      </c>
      <c r="H819" s="7"/>
      <c r="I819" s="11">
        <v>83.78</v>
      </c>
    </row>
    <row r="820" s="1" customFormat="1" ht="23" customHeight="1" spans="1:9">
      <c r="A820" s="7" t="str">
        <f>"70010103421"</f>
        <v>70010103421</v>
      </c>
      <c r="B820" s="7" t="str">
        <f t="shared" ref="B820:B858" si="36">"7001"</f>
        <v>7001</v>
      </c>
      <c r="C820" s="7" t="str">
        <f>"乔丹"</f>
        <v>乔丹</v>
      </c>
      <c r="D820" s="9">
        <v>19</v>
      </c>
      <c r="E820" s="9">
        <v>1</v>
      </c>
      <c r="F820" s="12" t="s">
        <v>13</v>
      </c>
      <c r="G820" s="11">
        <v>83.3</v>
      </c>
      <c r="H820" s="7">
        <v>1.0042</v>
      </c>
      <c r="I820" s="11">
        <f>G820*H820</f>
        <v>83.64986</v>
      </c>
    </row>
    <row r="821" s="1" customFormat="1" ht="23" customHeight="1" spans="1:9">
      <c r="A821" s="7" t="str">
        <f>"70010102814"</f>
        <v>70010102814</v>
      </c>
      <c r="B821" s="7" t="str">
        <f t="shared" si="36"/>
        <v>7001</v>
      </c>
      <c r="C821" s="7" t="str">
        <f>"潘荣华"</f>
        <v>潘荣华</v>
      </c>
      <c r="D821" s="9">
        <v>19</v>
      </c>
      <c r="E821" s="9">
        <v>2</v>
      </c>
      <c r="F821" s="12" t="s">
        <v>13</v>
      </c>
      <c r="G821" s="11">
        <v>82.94</v>
      </c>
      <c r="H821" s="7">
        <v>1.0042</v>
      </c>
      <c r="I821" s="11">
        <f t="shared" ref="I821:I835" si="37">G821*H821</f>
        <v>83.288348</v>
      </c>
    </row>
    <row r="822" s="1" customFormat="1" ht="23" customHeight="1" spans="1:9">
      <c r="A822" s="7" t="str">
        <f>"70010103106"</f>
        <v>70010103106</v>
      </c>
      <c r="B822" s="7" t="str">
        <f t="shared" si="36"/>
        <v>7001</v>
      </c>
      <c r="C822" s="7" t="str">
        <f>"樊博"</f>
        <v>樊博</v>
      </c>
      <c r="D822" s="9">
        <v>19</v>
      </c>
      <c r="E822" s="9">
        <v>3</v>
      </c>
      <c r="F822" s="12" t="s">
        <v>13</v>
      </c>
      <c r="G822" s="11">
        <v>80.56</v>
      </c>
      <c r="H822" s="7">
        <v>1.0042</v>
      </c>
      <c r="I822" s="11">
        <f t="shared" si="37"/>
        <v>80.898352</v>
      </c>
    </row>
    <row r="823" s="1" customFormat="1" ht="23" customHeight="1" spans="1:9">
      <c r="A823" s="7" t="str">
        <f>"70010103026"</f>
        <v>70010103026</v>
      </c>
      <c r="B823" s="7" t="str">
        <f t="shared" si="36"/>
        <v>7001</v>
      </c>
      <c r="C823" s="7" t="str">
        <f>"魏雅欣"</f>
        <v>魏雅欣</v>
      </c>
      <c r="D823" s="9">
        <v>19</v>
      </c>
      <c r="E823" s="9">
        <v>4</v>
      </c>
      <c r="F823" s="12" t="s">
        <v>13</v>
      </c>
      <c r="G823" s="11">
        <v>81.64</v>
      </c>
      <c r="H823" s="7">
        <v>1.0042</v>
      </c>
      <c r="I823" s="11">
        <f t="shared" si="37"/>
        <v>81.982888</v>
      </c>
    </row>
    <row r="824" s="1" customFormat="1" ht="23" customHeight="1" spans="1:9">
      <c r="A824" s="7" t="str">
        <f>"70010104119"</f>
        <v>70010104119</v>
      </c>
      <c r="B824" s="7" t="str">
        <f t="shared" si="36"/>
        <v>7001</v>
      </c>
      <c r="C824" s="7" t="str">
        <f>"刘梦"</f>
        <v>刘梦</v>
      </c>
      <c r="D824" s="9">
        <v>19</v>
      </c>
      <c r="E824" s="9">
        <v>5</v>
      </c>
      <c r="F824" s="12" t="s">
        <v>13</v>
      </c>
      <c r="G824" s="11">
        <v>82.92</v>
      </c>
      <c r="H824" s="7">
        <v>1.0042</v>
      </c>
      <c r="I824" s="11">
        <f t="shared" si="37"/>
        <v>83.268264</v>
      </c>
    </row>
    <row r="825" s="1" customFormat="1" ht="23" customHeight="1" spans="1:9">
      <c r="A825" s="7" t="str">
        <f>"70010101809"</f>
        <v>70010101809</v>
      </c>
      <c r="B825" s="7" t="str">
        <f t="shared" si="36"/>
        <v>7001</v>
      </c>
      <c r="C825" s="7" t="str">
        <f>"徐金蝉"</f>
        <v>徐金蝉</v>
      </c>
      <c r="D825" s="9">
        <v>19</v>
      </c>
      <c r="E825" s="9">
        <v>6</v>
      </c>
      <c r="F825" s="12" t="s">
        <v>13</v>
      </c>
      <c r="G825" s="11">
        <v>82.3</v>
      </c>
      <c r="H825" s="7">
        <v>1.0042</v>
      </c>
      <c r="I825" s="11">
        <f t="shared" si="37"/>
        <v>82.64566</v>
      </c>
    </row>
    <row r="826" s="1" customFormat="1" ht="23" customHeight="1" spans="1:9">
      <c r="A826" s="7" t="str">
        <f>"70010104609"</f>
        <v>70010104609</v>
      </c>
      <c r="B826" s="7" t="str">
        <f t="shared" si="36"/>
        <v>7001</v>
      </c>
      <c r="C826" s="7" t="str">
        <f>"毛岚"</f>
        <v>毛岚</v>
      </c>
      <c r="D826" s="9">
        <v>19</v>
      </c>
      <c r="E826" s="14">
        <v>7</v>
      </c>
      <c r="F826" s="12" t="s">
        <v>13</v>
      </c>
      <c r="G826" s="15">
        <v>83.52</v>
      </c>
      <c r="H826" s="7">
        <v>1.0042</v>
      </c>
      <c r="I826" s="11">
        <f t="shared" si="37"/>
        <v>83.870784</v>
      </c>
    </row>
    <row r="827" s="1" customFormat="1" ht="23" customHeight="1" spans="1:9">
      <c r="A827" s="7" t="str">
        <f>"70010103314"</f>
        <v>70010103314</v>
      </c>
      <c r="B827" s="7" t="str">
        <f t="shared" si="36"/>
        <v>7001</v>
      </c>
      <c r="C827" s="7" t="str">
        <f>"乔丹"</f>
        <v>乔丹</v>
      </c>
      <c r="D827" s="9">
        <v>19</v>
      </c>
      <c r="E827" s="9">
        <v>8</v>
      </c>
      <c r="F827" s="12" t="s">
        <v>13</v>
      </c>
      <c r="G827" s="11">
        <v>82.88</v>
      </c>
      <c r="H827" s="7">
        <v>1.0042</v>
      </c>
      <c r="I827" s="11">
        <f t="shared" si="37"/>
        <v>83.228096</v>
      </c>
    </row>
    <row r="828" s="1" customFormat="1" ht="23" customHeight="1" spans="1:9">
      <c r="A828" s="7" t="str">
        <f>"70010103811"</f>
        <v>70010103811</v>
      </c>
      <c r="B828" s="7" t="str">
        <f t="shared" si="36"/>
        <v>7001</v>
      </c>
      <c r="C828" s="7" t="str">
        <f>"潘梦茹"</f>
        <v>潘梦茹</v>
      </c>
      <c r="D828" s="9">
        <v>19</v>
      </c>
      <c r="E828" s="9">
        <v>9</v>
      </c>
      <c r="F828" s="12" t="s">
        <v>13</v>
      </c>
      <c r="G828" s="11">
        <v>82.52</v>
      </c>
      <c r="H828" s="7">
        <v>1.0042</v>
      </c>
      <c r="I828" s="11">
        <f t="shared" si="37"/>
        <v>82.866584</v>
      </c>
    </row>
    <row r="829" s="1" customFormat="1" ht="23" customHeight="1" spans="1:9">
      <c r="A829" s="7" t="str">
        <f>"70010104025"</f>
        <v>70010104025</v>
      </c>
      <c r="B829" s="7" t="str">
        <f t="shared" si="36"/>
        <v>7001</v>
      </c>
      <c r="C829" s="7" t="str">
        <f>"刘雅静"</f>
        <v>刘雅静</v>
      </c>
      <c r="D829" s="9">
        <v>19</v>
      </c>
      <c r="E829" s="9">
        <v>10</v>
      </c>
      <c r="F829" s="12" t="s">
        <v>13</v>
      </c>
      <c r="G829" s="11">
        <v>81.6</v>
      </c>
      <c r="H829" s="7">
        <v>1.0042</v>
      </c>
      <c r="I829" s="11">
        <f t="shared" si="37"/>
        <v>81.94272</v>
      </c>
    </row>
    <row r="830" s="1" customFormat="1" ht="23" customHeight="1" spans="1:9">
      <c r="A830" s="7" t="str">
        <f>"70010101428"</f>
        <v>70010101428</v>
      </c>
      <c r="B830" s="7" t="str">
        <f t="shared" si="36"/>
        <v>7001</v>
      </c>
      <c r="C830" s="7" t="str">
        <f>"周靖凡"</f>
        <v>周靖凡</v>
      </c>
      <c r="D830" s="9">
        <v>19</v>
      </c>
      <c r="E830" s="9">
        <v>11</v>
      </c>
      <c r="F830" s="12" t="s">
        <v>13</v>
      </c>
      <c r="G830" s="11">
        <v>83.38</v>
      </c>
      <c r="H830" s="7">
        <v>1.0042</v>
      </c>
      <c r="I830" s="11">
        <f t="shared" si="37"/>
        <v>83.730196</v>
      </c>
    </row>
    <row r="831" s="1" customFormat="1" ht="23" customHeight="1" spans="1:9">
      <c r="A831" s="7" t="str">
        <f>"70010100227"</f>
        <v>70010100227</v>
      </c>
      <c r="B831" s="7" t="str">
        <f t="shared" si="36"/>
        <v>7001</v>
      </c>
      <c r="C831" s="7" t="str">
        <f>"范林秀"</f>
        <v>范林秀</v>
      </c>
      <c r="D831" s="9">
        <v>19</v>
      </c>
      <c r="E831" s="14">
        <v>12</v>
      </c>
      <c r="F831" s="12" t="s">
        <v>13</v>
      </c>
      <c r="G831" s="15">
        <v>82.56</v>
      </c>
      <c r="H831" s="7">
        <v>1.0042</v>
      </c>
      <c r="I831" s="11">
        <f t="shared" si="37"/>
        <v>82.906752</v>
      </c>
    </row>
    <row r="832" s="1" customFormat="1" ht="23" customHeight="1" spans="1:9">
      <c r="A832" s="7" t="str">
        <f>"70010101802"</f>
        <v>70010101802</v>
      </c>
      <c r="B832" s="7" t="str">
        <f t="shared" si="36"/>
        <v>7001</v>
      </c>
      <c r="C832" s="7" t="str">
        <f>"李梦"</f>
        <v>李梦</v>
      </c>
      <c r="D832" s="9">
        <v>19</v>
      </c>
      <c r="E832" s="9">
        <v>13</v>
      </c>
      <c r="F832" s="12" t="s">
        <v>13</v>
      </c>
      <c r="G832" s="11">
        <v>82.42</v>
      </c>
      <c r="H832" s="7">
        <v>1.0042</v>
      </c>
      <c r="I832" s="11">
        <f t="shared" si="37"/>
        <v>82.766164</v>
      </c>
    </row>
    <row r="833" s="1" customFormat="1" ht="23" customHeight="1" spans="1:9">
      <c r="A833" s="7" t="str">
        <f>"70010102906"</f>
        <v>70010102906</v>
      </c>
      <c r="B833" s="7" t="str">
        <f t="shared" si="36"/>
        <v>7001</v>
      </c>
      <c r="C833" s="7" t="str">
        <f>"闫迪"</f>
        <v>闫迪</v>
      </c>
      <c r="D833" s="9">
        <v>19</v>
      </c>
      <c r="E833" s="9">
        <v>14</v>
      </c>
      <c r="F833" s="12" t="s">
        <v>13</v>
      </c>
      <c r="G833" s="11">
        <v>84.42</v>
      </c>
      <c r="H833" s="7">
        <v>1.0042</v>
      </c>
      <c r="I833" s="11">
        <f t="shared" si="37"/>
        <v>84.774564</v>
      </c>
    </row>
    <row r="834" s="1" customFormat="1" ht="23" customHeight="1" spans="1:9">
      <c r="A834" s="7" t="str">
        <f>"70010102505"</f>
        <v>70010102505</v>
      </c>
      <c r="B834" s="7" t="str">
        <f t="shared" si="36"/>
        <v>7001</v>
      </c>
      <c r="C834" s="7" t="str">
        <f>"秦虎"</f>
        <v>秦虎</v>
      </c>
      <c r="D834" s="9">
        <v>19</v>
      </c>
      <c r="E834" s="9">
        <v>15</v>
      </c>
      <c r="F834" s="12" t="s">
        <v>13</v>
      </c>
      <c r="G834" s="11">
        <v>82.76</v>
      </c>
      <c r="H834" s="7">
        <v>1.0042</v>
      </c>
      <c r="I834" s="11">
        <f t="shared" si="37"/>
        <v>83.107592</v>
      </c>
    </row>
    <row r="835" s="1" customFormat="1" ht="23" customHeight="1" spans="1:9">
      <c r="A835" s="7" t="str">
        <f>"70010104003"</f>
        <v>70010104003</v>
      </c>
      <c r="B835" s="7" t="str">
        <f t="shared" si="36"/>
        <v>7001</v>
      </c>
      <c r="C835" s="7" t="str">
        <f>"王梓羽"</f>
        <v>王梓羽</v>
      </c>
      <c r="D835" s="9">
        <v>19</v>
      </c>
      <c r="E835" s="9">
        <v>16</v>
      </c>
      <c r="F835" s="12" t="s">
        <v>13</v>
      </c>
      <c r="G835" s="11">
        <v>84.18</v>
      </c>
      <c r="H835" s="7">
        <v>1.0042</v>
      </c>
      <c r="I835" s="11">
        <f t="shared" si="37"/>
        <v>84.533556</v>
      </c>
    </row>
    <row r="836" s="1" customFormat="1" ht="23" customHeight="1" spans="1:9">
      <c r="A836" s="7" t="str">
        <f>"70010103920"</f>
        <v>70010103920</v>
      </c>
      <c r="B836" s="7" t="str">
        <f t="shared" si="36"/>
        <v>7001</v>
      </c>
      <c r="C836" s="7" t="str">
        <f>"孙俊然"</f>
        <v>孙俊然</v>
      </c>
      <c r="D836" s="9">
        <v>19</v>
      </c>
      <c r="E836" s="9">
        <v>17</v>
      </c>
      <c r="F836" s="12" t="s">
        <v>13</v>
      </c>
      <c r="G836" s="11">
        <v>83.36</v>
      </c>
      <c r="H836" s="7">
        <v>1.0042</v>
      </c>
      <c r="I836" s="11">
        <f t="shared" ref="I836:I858" si="38">G836*H836</f>
        <v>83.710112</v>
      </c>
    </row>
    <row r="837" s="1" customFormat="1" ht="23" customHeight="1" spans="1:9">
      <c r="A837" s="7" t="str">
        <f>"70010102521"</f>
        <v>70010102521</v>
      </c>
      <c r="B837" s="7" t="str">
        <f t="shared" si="36"/>
        <v>7001</v>
      </c>
      <c r="C837" s="7" t="str">
        <f>"裴春虹"</f>
        <v>裴春虹</v>
      </c>
      <c r="D837" s="9">
        <v>19</v>
      </c>
      <c r="E837" s="9">
        <v>18</v>
      </c>
      <c r="F837" s="12" t="s">
        <v>13</v>
      </c>
      <c r="G837" s="11">
        <v>83.12</v>
      </c>
      <c r="H837" s="7">
        <v>1.0042</v>
      </c>
      <c r="I837" s="11">
        <f t="shared" si="38"/>
        <v>83.469104</v>
      </c>
    </row>
    <row r="838" s="1" customFormat="1" ht="23" customHeight="1" spans="1:9">
      <c r="A838" s="7" t="str">
        <f>"70010104704"</f>
        <v>70010104704</v>
      </c>
      <c r="B838" s="7" t="str">
        <f t="shared" si="36"/>
        <v>7001</v>
      </c>
      <c r="C838" s="7" t="str">
        <f>"梁红嫒"</f>
        <v>梁红嫒</v>
      </c>
      <c r="D838" s="9">
        <v>19</v>
      </c>
      <c r="E838" s="9">
        <v>19</v>
      </c>
      <c r="F838" s="12" t="s">
        <v>13</v>
      </c>
      <c r="G838" s="11">
        <v>83.18</v>
      </c>
      <c r="H838" s="7">
        <v>1.0042</v>
      </c>
      <c r="I838" s="11">
        <f t="shared" si="38"/>
        <v>83.529356</v>
      </c>
    </row>
    <row r="839" s="1" customFormat="1" ht="23" customHeight="1" spans="1:9">
      <c r="A839" s="7" t="str">
        <f>"70010102820"</f>
        <v>70010102820</v>
      </c>
      <c r="B839" s="7" t="str">
        <f t="shared" si="36"/>
        <v>7001</v>
      </c>
      <c r="C839" s="7" t="str">
        <f>"郭轲"</f>
        <v>郭轲</v>
      </c>
      <c r="D839" s="9">
        <v>20</v>
      </c>
      <c r="E839" s="9">
        <v>1</v>
      </c>
      <c r="F839" s="12" t="s">
        <v>13</v>
      </c>
      <c r="G839" s="11">
        <v>82</v>
      </c>
      <c r="H839" s="7">
        <v>0.9959</v>
      </c>
      <c r="I839" s="11">
        <f t="shared" si="38"/>
        <v>81.6638</v>
      </c>
    </row>
    <row r="840" s="1" customFormat="1" ht="23" customHeight="1" spans="1:9">
      <c r="A840" s="7" t="str">
        <f>"70010101020"</f>
        <v>70010101020</v>
      </c>
      <c r="B840" s="7" t="str">
        <f t="shared" si="36"/>
        <v>7001</v>
      </c>
      <c r="C840" s="7" t="str">
        <f>"叶素君"</f>
        <v>叶素君</v>
      </c>
      <c r="D840" s="9">
        <v>20</v>
      </c>
      <c r="E840" s="9">
        <v>2</v>
      </c>
      <c r="F840" s="12" t="s">
        <v>13</v>
      </c>
      <c r="G840" s="11">
        <v>84.3</v>
      </c>
      <c r="H840" s="7">
        <v>0.9959</v>
      </c>
      <c r="I840" s="11">
        <f t="shared" si="38"/>
        <v>83.95437</v>
      </c>
    </row>
    <row r="841" s="1" customFormat="1" ht="23" customHeight="1" spans="1:9">
      <c r="A841" s="7" t="str">
        <f>"70010100614"</f>
        <v>70010100614</v>
      </c>
      <c r="B841" s="7" t="str">
        <f t="shared" si="36"/>
        <v>7001</v>
      </c>
      <c r="C841" s="7" t="str">
        <f>"顾芮帆"</f>
        <v>顾芮帆</v>
      </c>
      <c r="D841" s="9">
        <v>20</v>
      </c>
      <c r="E841" s="9">
        <v>3</v>
      </c>
      <c r="F841" s="12" t="s">
        <v>13</v>
      </c>
      <c r="G841" s="11">
        <v>84.06</v>
      </c>
      <c r="H841" s="7">
        <v>0.9959</v>
      </c>
      <c r="I841" s="11">
        <f t="shared" si="38"/>
        <v>83.715354</v>
      </c>
    </row>
    <row r="842" s="1" customFormat="1" ht="23" customHeight="1" spans="1:9">
      <c r="A842" s="7" t="str">
        <f>"70010100622"</f>
        <v>70010100622</v>
      </c>
      <c r="B842" s="7" t="str">
        <f t="shared" si="36"/>
        <v>7001</v>
      </c>
      <c r="C842" s="7" t="str">
        <f>"崔贺云"</f>
        <v>崔贺云</v>
      </c>
      <c r="D842" s="9">
        <v>20</v>
      </c>
      <c r="E842" s="9">
        <v>4</v>
      </c>
      <c r="F842" s="12" t="s">
        <v>13</v>
      </c>
      <c r="G842" s="11">
        <v>83.56</v>
      </c>
      <c r="H842" s="7">
        <v>0.9959</v>
      </c>
      <c r="I842" s="11">
        <f t="shared" si="38"/>
        <v>83.217404</v>
      </c>
    </row>
    <row r="843" s="1" customFormat="1" ht="23" customHeight="1" spans="1:9">
      <c r="A843" s="7" t="str">
        <f>"70010100721"</f>
        <v>70010100721</v>
      </c>
      <c r="B843" s="7" t="str">
        <f t="shared" si="36"/>
        <v>7001</v>
      </c>
      <c r="C843" s="7" t="str">
        <f>"杨平"</f>
        <v>杨平</v>
      </c>
      <c r="D843" s="9">
        <v>20</v>
      </c>
      <c r="E843" s="9">
        <v>5</v>
      </c>
      <c r="F843" s="12" t="s">
        <v>13</v>
      </c>
      <c r="G843" s="11">
        <v>83.32</v>
      </c>
      <c r="H843" s="7">
        <v>0.9959</v>
      </c>
      <c r="I843" s="11">
        <f t="shared" si="38"/>
        <v>82.978388</v>
      </c>
    </row>
    <row r="844" s="1" customFormat="1" ht="23" customHeight="1" spans="1:9">
      <c r="A844" s="7" t="str">
        <f>"70010104401"</f>
        <v>70010104401</v>
      </c>
      <c r="B844" s="7" t="str">
        <f t="shared" si="36"/>
        <v>7001</v>
      </c>
      <c r="C844" s="7" t="str">
        <f>"季冬雪"</f>
        <v>季冬雪</v>
      </c>
      <c r="D844" s="9">
        <v>20</v>
      </c>
      <c r="E844" s="9">
        <v>6</v>
      </c>
      <c r="F844" s="12" t="s">
        <v>13</v>
      </c>
      <c r="G844" s="11">
        <v>84.46</v>
      </c>
      <c r="H844" s="7">
        <v>0.9959</v>
      </c>
      <c r="I844" s="11">
        <f t="shared" si="38"/>
        <v>84.113714</v>
      </c>
    </row>
    <row r="845" s="1" customFormat="1" ht="23" customHeight="1" spans="1:9">
      <c r="A845" s="7" t="str">
        <f>"70010102204"</f>
        <v>70010102204</v>
      </c>
      <c r="B845" s="7" t="str">
        <f t="shared" si="36"/>
        <v>7001</v>
      </c>
      <c r="C845" s="7" t="str">
        <f>"刘亚雯"</f>
        <v>刘亚雯</v>
      </c>
      <c r="D845" s="9">
        <v>20</v>
      </c>
      <c r="E845" s="9">
        <v>7</v>
      </c>
      <c r="F845" s="12" t="s">
        <v>13</v>
      </c>
      <c r="G845" s="11">
        <v>82.66</v>
      </c>
      <c r="H845" s="7">
        <v>0.9959</v>
      </c>
      <c r="I845" s="11">
        <f t="shared" si="38"/>
        <v>82.321094</v>
      </c>
    </row>
    <row r="846" s="1" customFormat="1" ht="23" customHeight="1" spans="1:9">
      <c r="A846" s="7" t="str">
        <f>"70010101727"</f>
        <v>70010101727</v>
      </c>
      <c r="B846" s="7" t="str">
        <f t="shared" si="36"/>
        <v>7001</v>
      </c>
      <c r="C846" s="7" t="str">
        <f>"陈孟迪"</f>
        <v>陈孟迪</v>
      </c>
      <c r="D846" s="9">
        <v>20</v>
      </c>
      <c r="E846" s="9">
        <v>8</v>
      </c>
      <c r="F846" s="12" t="s">
        <v>13</v>
      </c>
      <c r="G846" s="11">
        <v>83.54</v>
      </c>
      <c r="H846" s="7">
        <v>0.9959</v>
      </c>
      <c r="I846" s="11">
        <f t="shared" si="38"/>
        <v>83.197486</v>
      </c>
    </row>
    <row r="847" s="1" customFormat="1" ht="23" customHeight="1" spans="1:9">
      <c r="A847" s="7" t="str">
        <f>"70010103009"</f>
        <v>70010103009</v>
      </c>
      <c r="B847" s="7" t="str">
        <f t="shared" si="36"/>
        <v>7001</v>
      </c>
      <c r="C847" s="7" t="str">
        <f>"田丽媛"</f>
        <v>田丽媛</v>
      </c>
      <c r="D847" s="9">
        <v>20</v>
      </c>
      <c r="E847" s="9">
        <v>9</v>
      </c>
      <c r="F847" s="12" t="s">
        <v>13</v>
      </c>
      <c r="G847" s="11">
        <v>84.02</v>
      </c>
      <c r="H847" s="7">
        <v>0.9959</v>
      </c>
      <c r="I847" s="11">
        <f t="shared" si="38"/>
        <v>83.675518</v>
      </c>
    </row>
    <row r="848" s="1" customFormat="1" ht="23" customHeight="1" spans="1:9">
      <c r="A848" s="7" t="str">
        <f>"70010101721"</f>
        <v>70010101721</v>
      </c>
      <c r="B848" s="7" t="str">
        <f t="shared" si="36"/>
        <v>7001</v>
      </c>
      <c r="C848" s="7" t="str">
        <f>"常无双"</f>
        <v>常无双</v>
      </c>
      <c r="D848" s="9">
        <v>20</v>
      </c>
      <c r="E848" s="9">
        <v>10</v>
      </c>
      <c r="F848" s="12" t="s">
        <v>13</v>
      </c>
      <c r="G848" s="11">
        <v>82.62</v>
      </c>
      <c r="H848" s="7">
        <v>0.9959</v>
      </c>
      <c r="I848" s="11">
        <f t="shared" si="38"/>
        <v>82.281258</v>
      </c>
    </row>
    <row r="849" s="1" customFormat="1" ht="23" customHeight="1" spans="1:9">
      <c r="A849" s="7" t="str">
        <f>"70010103517"</f>
        <v>70010103517</v>
      </c>
      <c r="B849" s="7" t="str">
        <f t="shared" si="36"/>
        <v>7001</v>
      </c>
      <c r="C849" s="7" t="str">
        <f>"时凡"</f>
        <v>时凡</v>
      </c>
      <c r="D849" s="9">
        <v>20</v>
      </c>
      <c r="E849" s="9">
        <v>11</v>
      </c>
      <c r="F849" s="12" t="s">
        <v>13</v>
      </c>
      <c r="G849" s="11">
        <v>82.16</v>
      </c>
      <c r="H849" s="7">
        <v>0.9959</v>
      </c>
      <c r="I849" s="11">
        <f t="shared" si="38"/>
        <v>81.823144</v>
      </c>
    </row>
    <row r="850" s="1" customFormat="1" ht="23" customHeight="1" spans="1:9">
      <c r="A850" s="7" t="str">
        <f>"70010104303"</f>
        <v>70010104303</v>
      </c>
      <c r="B850" s="7" t="str">
        <f t="shared" si="36"/>
        <v>7001</v>
      </c>
      <c r="C850" s="7" t="str">
        <f>"马娇丽"</f>
        <v>马娇丽</v>
      </c>
      <c r="D850" s="9">
        <v>20</v>
      </c>
      <c r="E850" s="9">
        <v>12</v>
      </c>
      <c r="F850" s="12" t="s">
        <v>13</v>
      </c>
      <c r="G850" s="11">
        <v>82.38</v>
      </c>
      <c r="H850" s="7">
        <v>0.9959</v>
      </c>
      <c r="I850" s="11">
        <f t="shared" si="38"/>
        <v>82.042242</v>
      </c>
    </row>
    <row r="851" s="1" customFormat="1" ht="23" customHeight="1" spans="1:9">
      <c r="A851" s="7" t="str">
        <f>"70010103230"</f>
        <v>70010103230</v>
      </c>
      <c r="B851" s="7" t="str">
        <f t="shared" si="36"/>
        <v>7001</v>
      </c>
      <c r="C851" s="7" t="str">
        <f>"周爽悦"</f>
        <v>周爽悦</v>
      </c>
      <c r="D851" s="9">
        <v>20</v>
      </c>
      <c r="E851" s="9">
        <v>13</v>
      </c>
      <c r="F851" s="12" t="s">
        <v>13</v>
      </c>
      <c r="G851" s="11">
        <v>83.26</v>
      </c>
      <c r="H851" s="7">
        <v>0.9959</v>
      </c>
      <c r="I851" s="11">
        <f t="shared" si="38"/>
        <v>82.918634</v>
      </c>
    </row>
    <row r="852" s="1" customFormat="1" ht="23" customHeight="1" spans="1:9">
      <c r="A852" s="7" t="str">
        <f>"70010101614"</f>
        <v>70010101614</v>
      </c>
      <c r="B852" s="7" t="str">
        <f t="shared" si="36"/>
        <v>7001</v>
      </c>
      <c r="C852" s="7" t="str">
        <f>"郭晴晴"</f>
        <v>郭晴晴</v>
      </c>
      <c r="D852" s="9">
        <v>20</v>
      </c>
      <c r="E852" s="9">
        <v>14</v>
      </c>
      <c r="F852" s="12" t="s">
        <v>13</v>
      </c>
      <c r="G852" s="11">
        <v>84.06</v>
      </c>
      <c r="H852" s="7">
        <v>0.9959</v>
      </c>
      <c r="I852" s="11">
        <f t="shared" si="38"/>
        <v>83.715354</v>
      </c>
    </row>
    <row r="853" s="1" customFormat="1" ht="23" customHeight="1" spans="1:9">
      <c r="A853" s="7" t="str">
        <f>"70010103425"</f>
        <v>70010103425</v>
      </c>
      <c r="B853" s="7" t="str">
        <f t="shared" si="36"/>
        <v>7001</v>
      </c>
      <c r="C853" s="7" t="str">
        <f>"范文静"</f>
        <v>范文静</v>
      </c>
      <c r="D853" s="9">
        <v>20</v>
      </c>
      <c r="E853" s="9">
        <v>15</v>
      </c>
      <c r="F853" s="12" t="s">
        <v>13</v>
      </c>
      <c r="G853" s="11">
        <v>83.72</v>
      </c>
      <c r="H853" s="7">
        <v>0.9959</v>
      </c>
      <c r="I853" s="11">
        <f t="shared" si="38"/>
        <v>83.376748</v>
      </c>
    </row>
    <row r="854" s="1" customFormat="1" ht="23" customHeight="1" spans="1:9">
      <c r="A854" s="7" t="str">
        <f>"70010101625"</f>
        <v>70010101625</v>
      </c>
      <c r="B854" s="7" t="str">
        <f t="shared" si="36"/>
        <v>7001</v>
      </c>
      <c r="C854" s="7" t="str">
        <f>"梁莹"</f>
        <v>梁莹</v>
      </c>
      <c r="D854" s="9">
        <v>20</v>
      </c>
      <c r="E854" s="9">
        <v>16</v>
      </c>
      <c r="F854" s="12" t="s">
        <v>13</v>
      </c>
      <c r="G854" s="11">
        <v>83.94</v>
      </c>
      <c r="H854" s="7">
        <v>0.9959</v>
      </c>
      <c r="I854" s="11">
        <f t="shared" si="38"/>
        <v>83.595846</v>
      </c>
    </row>
    <row r="855" s="1" customFormat="1" ht="23" customHeight="1" spans="1:9">
      <c r="A855" s="7" t="str">
        <f>"70010101726"</f>
        <v>70010101726</v>
      </c>
      <c r="B855" s="7" t="str">
        <f t="shared" si="36"/>
        <v>7001</v>
      </c>
      <c r="C855" s="7" t="str">
        <f>"崔蒙蒙"</f>
        <v>崔蒙蒙</v>
      </c>
      <c r="D855" s="9">
        <v>20</v>
      </c>
      <c r="E855" s="9">
        <v>17</v>
      </c>
      <c r="F855" s="12" t="s">
        <v>13</v>
      </c>
      <c r="G855" s="11">
        <v>83.58</v>
      </c>
      <c r="H855" s="7">
        <v>0.9959</v>
      </c>
      <c r="I855" s="11">
        <f t="shared" si="38"/>
        <v>83.237322</v>
      </c>
    </row>
    <row r="856" s="1" customFormat="1" ht="23" customHeight="1" spans="1:9">
      <c r="A856" s="7" t="str">
        <f>"70010103024"</f>
        <v>70010103024</v>
      </c>
      <c r="B856" s="7" t="str">
        <f t="shared" si="36"/>
        <v>7001</v>
      </c>
      <c r="C856" s="7" t="str">
        <f>"张丽萍"</f>
        <v>张丽萍</v>
      </c>
      <c r="D856" s="9">
        <v>20</v>
      </c>
      <c r="E856" s="9">
        <v>18</v>
      </c>
      <c r="F856" s="12" t="s">
        <v>13</v>
      </c>
      <c r="G856" s="11">
        <v>84.22</v>
      </c>
      <c r="H856" s="7">
        <v>0.9959</v>
      </c>
      <c r="I856" s="11">
        <f t="shared" si="38"/>
        <v>83.874698</v>
      </c>
    </row>
    <row r="857" s="1" customFormat="1" ht="23" customHeight="1" spans="1:9">
      <c r="A857" s="7" t="str">
        <f>"70010100707"</f>
        <v>70010100707</v>
      </c>
      <c r="B857" s="7" t="str">
        <f t="shared" si="36"/>
        <v>7001</v>
      </c>
      <c r="C857" s="7" t="str">
        <f>"马雪平"</f>
        <v>马雪平</v>
      </c>
      <c r="D857" s="9">
        <v>20</v>
      </c>
      <c r="E857" s="9">
        <v>19</v>
      </c>
      <c r="F857" s="12" t="s">
        <v>13</v>
      </c>
      <c r="G857" s="11">
        <v>83.84</v>
      </c>
      <c r="H857" s="7">
        <v>0.9959</v>
      </c>
      <c r="I857" s="11">
        <f t="shared" si="38"/>
        <v>83.496256</v>
      </c>
    </row>
    <row r="858" s="1" customFormat="1" ht="23" customHeight="1" spans="1:9">
      <c r="A858" s="7" t="str">
        <f>"70010102328"</f>
        <v>70010102328</v>
      </c>
      <c r="B858" s="7" t="str">
        <f t="shared" si="36"/>
        <v>7001</v>
      </c>
      <c r="C858" s="7" t="str">
        <f>"杨帆"</f>
        <v>杨帆</v>
      </c>
      <c r="D858" s="9">
        <v>20</v>
      </c>
      <c r="E858" s="9">
        <v>20</v>
      </c>
      <c r="F858" s="12" t="s">
        <v>13</v>
      </c>
      <c r="G858" s="11">
        <v>83.64</v>
      </c>
      <c r="H858" s="7">
        <v>0.9959</v>
      </c>
      <c r="I858" s="11">
        <f t="shared" si="38"/>
        <v>83.297076</v>
      </c>
    </row>
    <row r="859" s="1" customFormat="1" ht="23" customHeight="1" spans="1:9">
      <c r="A859" s="7" t="str">
        <f>"40040723608"</f>
        <v>40040723608</v>
      </c>
      <c r="B859" s="7" t="str">
        <f t="shared" ref="B859:B864" si="39">"4004"</f>
        <v>4004</v>
      </c>
      <c r="C859" s="7" t="str">
        <f>"李雪晴"</f>
        <v>李雪晴</v>
      </c>
      <c r="D859" s="9">
        <v>21</v>
      </c>
      <c r="E859" s="9">
        <v>1</v>
      </c>
      <c r="F859" s="12" t="s">
        <v>13</v>
      </c>
      <c r="G859" s="11">
        <v>83.4</v>
      </c>
      <c r="H859" s="7"/>
      <c r="I859" s="11">
        <v>83.4</v>
      </c>
    </row>
    <row r="860" s="1" customFormat="1" ht="23" customHeight="1" spans="1:9">
      <c r="A860" s="7" t="str">
        <f>"40040723601"</f>
        <v>40040723601</v>
      </c>
      <c r="B860" s="7" t="str">
        <f t="shared" si="39"/>
        <v>4004</v>
      </c>
      <c r="C860" s="7" t="str">
        <f>"胡玉方"</f>
        <v>胡玉方</v>
      </c>
      <c r="D860" s="9">
        <v>21</v>
      </c>
      <c r="E860" s="9">
        <v>2</v>
      </c>
      <c r="F860" s="12" t="s">
        <v>13</v>
      </c>
      <c r="G860" s="11">
        <v>82.52</v>
      </c>
      <c r="H860" s="7"/>
      <c r="I860" s="11">
        <v>82.52</v>
      </c>
    </row>
    <row r="861" s="1" customFormat="1" ht="23" customHeight="1" spans="1:9">
      <c r="A861" s="7" t="str">
        <f>"40040723605"</f>
        <v>40040723605</v>
      </c>
      <c r="B861" s="7" t="str">
        <f t="shared" si="39"/>
        <v>4004</v>
      </c>
      <c r="C861" s="7" t="str">
        <f>"张楠楠"</f>
        <v>张楠楠</v>
      </c>
      <c r="D861" s="9">
        <v>21</v>
      </c>
      <c r="E861" s="9">
        <v>3</v>
      </c>
      <c r="F861" s="12" t="s">
        <v>13</v>
      </c>
      <c r="G861" s="11">
        <v>82.3</v>
      </c>
      <c r="H861" s="7"/>
      <c r="I861" s="11">
        <v>82.3</v>
      </c>
    </row>
    <row r="862" s="1" customFormat="1" ht="23" customHeight="1" spans="1:9">
      <c r="A862" s="7" t="str">
        <f>"40040723607"</f>
        <v>40040723607</v>
      </c>
      <c r="B862" s="7" t="str">
        <f t="shared" si="39"/>
        <v>4004</v>
      </c>
      <c r="C862" s="7" t="str">
        <f>"李毅冰"</f>
        <v>李毅冰</v>
      </c>
      <c r="D862" s="9">
        <v>21</v>
      </c>
      <c r="E862" s="9">
        <v>4</v>
      </c>
      <c r="F862" s="12" t="s">
        <v>13</v>
      </c>
      <c r="G862" s="11">
        <v>82.58</v>
      </c>
      <c r="H862" s="7"/>
      <c r="I862" s="11">
        <v>82.58</v>
      </c>
    </row>
    <row r="863" s="1" customFormat="1" ht="23" customHeight="1" spans="1:9">
      <c r="A863" s="7" t="str">
        <f>"40040723603"</f>
        <v>40040723603</v>
      </c>
      <c r="B863" s="7" t="str">
        <f t="shared" si="39"/>
        <v>4004</v>
      </c>
      <c r="C863" s="7" t="str">
        <f>"张迎燕"</f>
        <v>张迎燕</v>
      </c>
      <c r="D863" s="9">
        <v>21</v>
      </c>
      <c r="E863" s="14">
        <v>5</v>
      </c>
      <c r="F863" s="12" t="s">
        <v>13</v>
      </c>
      <c r="G863" s="15">
        <v>82.62</v>
      </c>
      <c r="H863" s="7"/>
      <c r="I863" s="15">
        <v>82.62</v>
      </c>
    </row>
    <row r="864" s="1" customFormat="1" ht="23" customHeight="1" spans="1:9">
      <c r="A864" s="7" t="str">
        <f>"40040723602"</f>
        <v>40040723602</v>
      </c>
      <c r="B864" s="7" t="str">
        <f t="shared" si="39"/>
        <v>4004</v>
      </c>
      <c r="C864" s="7" t="str">
        <f>"张梦珂"</f>
        <v>张梦珂</v>
      </c>
      <c r="D864" s="9">
        <v>21</v>
      </c>
      <c r="E864" s="9">
        <v>6</v>
      </c>
      <c r="F864" s="12" t="s">
        <v>13</v>
      </c>
      <c r="G864" s="11">
        <v>81.82</v>
      </c>
      <c r="H864" s="7"/>
      <c r="I864" s="11">
        <v>81.82</v>
      </c>
    </row>
    <row r="865" s="1" customFormat="1" ht="23" customHeight="1" spans="1:9">
      <c r="A865" s="7" t="str">
        <f>"40050723609"</f>
        <v>40050723609</v>
      </c>
      <c r="B865" s="7" t="str">
        <f>"4005"</f>
        <v>4005</v>
      </c>
      <c r="C865" s="7" t="str">
        <f>"李峥"</f>
        <v>李峥</v>
      </c>
      <c r="D865" s="9">
        <v>21</v>
      </c>
      <c r="E865" s="9">
        <v>7</v>
      </c>
      <c r="F865" s="12" t="s">
        <v>13</v>
      </c>
      <c r="G865" s="11">
        <v>82.52</v>
      </c>
      <c r="H865" s="7"/>
      <c r="I865" s="11">
        <v>82.52</v>
      </c>
    </row>
    <row r="866" s="1" customFormat="1" ht="23" customHeight="1" spans="1:9">
      <c r="A866" s="7" t="str">
        <f>"40050723621"</f>
        <v>40050723621</v>
      </c>
      <c r="B866" s="7" t="str">
        <f>"4005"</f>
        <v>4005</v>
      </c>
      <c r="C866" s="7" t="str">
        <f>"张泽勋"</f>
        <v>张泽勋</v>
      </c>
      <c r="D866" s="9">
        <v>21</v>
      </c>
      <c r="E866" s="9">
        <v>8</v>
      </c>
      <c r="F866" s="12" t="s">
        <v>13</v>
      </c>
      <c r="G866" s="11">
        <v>83.16</v>
      </c>
      <c r="H866" s="7"/>
      <c r="I866" s="11">
        <v>83.16</v>
      </c>
    </row>
    <row r="867" s="1" customFormat="1" ht="23" customHeight="1" spans="1:9">
      <c r="A867" s="7" t="str">
        <f>"40050723619"</f>
        <v>40050723619</v>
      </c>
      <c r="B867" s="7" t="str">
        <f>"4005"</f>
        <v>4005</v>
      </c>
      <c r="C867" s="7" t="str">
        <f>"邢微"</f>
        <v>邢微</v>
      </c>
      <c r="D867" s="9">
        <v>21</v>
      </c>
      <c r="E867" s="14">
        <v>9</v>
      </c>
      <c r="F867" s="12" t="s">
        <v>13</v>
      </c>
      <c r="G867" s="15">
        <v>81.26</v>
      </c>
      <c r="H867" s="7"/>
      <c r="I867" s="15">
        <v>81.26</v>
      </c>
    </row>
    <row r="868" s="1" customFormat="1" ht="23" customHeight="1" spans="1:9">
      <c r="A868" s="7" t="str">
        <f>"40050723618"</f>
        <v>40050723618</v>
      </c>
      <c r="B868" s="7" t="str">
        <f>"4005"</f>
        <v>4005</v>
      </c>
      <c r="C868" s="7" t="str">
        <f>"王彦喆"</f>
        <v>王彦喆</v>
      </c>
      <c r="D868" s="9">
        <v>21</v>
      </c>
      <c r="E868" s="9">
        <v>10</v>
      </c>
      <c r="F868" s="12" t="s">
        <v>13</v>
      </c>
      <c r="G868" s="11">
        <v>81.64</v>
      </c>
      <c r="H868" s="7"/>
      <c r="I868" s="11">
        <v>81.64</v>
      </c>
    </row>
    <row r="869" s="1" customFormat="1" ht="23" customHeight="1" spans="1:9">
      <c r="A869" s="7" t="str">
        <f>"40050723612"</f>
        <v>40050723612</v>
      </c>
      <c r="B869" s="7" t="str">
        <f>"4005"</f>
        <v>4005</v>
      </c>
      <c r="C869" s="7" t="str">
        <f>"王怡丹"</f>
        <v>王怡丹</v>
      </c>
      <c r="D869" s="9">
        <v>21</v>
      </c>
      <c r="E869" s="10" t="s">
        <v>11</v>
      </c>
      <c r="F869" s="12" t="s">
        <v>13</v>
      </c>
      <c r="G869" s="12" t="s">
        <v>11</v>
      </c>
      <c r="H869" s="7"/>
      <c r="I869" s="12" t="s">
        <v>11</v>
      </c>
    </row>
  </sheetData>
  <sortState ref="A3:L869">
    <sortCondition ref="F3:F869"/>
    <sortCondition ref="D3:D869"/>
    <sortCondition ref="E3:E869"/>
  </sortState>
  <mergeCells count="1">
    <mergeCell ref="A1:I1"/>
  </mergeCells>
  <conditionalFormatting sqref="A1">
    <cfRule type="duplicateValues" dxfId="0" priority="150"/>
  </conditionalFormatting>
  <conditionalFormatting sqref="A2">
    <cfRule type="duplicateValues" dxfId="0" priority="151"/>
  </conditionalFormatting>
  <conditionalFormatting sqref="A105">
    <cfRule type="duplicateValues" dxfId="0" priority="145"/>
  </conditionalFormatting>
  <conditionalFormatting sqref="A161">
    <cfRule type="duplicateValues" dxfId="0" priority="141"/>
  </conditionalFormatting>
  <conditionalFormatting sqref="A162">
    <cfRule type="duplicateValues" dxfId="0" priority="140"/>
  </conditionalFormatting>
  <conditionalFormatting sqref="A163">
    <cfRule type="duplicateValues" dxfId="0" priority="139"/>
  </conditionalFormatting>
  <conditionalFormatting sqref="A193">
    <cfRule type="duplicateValues" dxfId="0" priority="142"/>
  </conditionalFormatting>
  <conditionalFormatting sqref="A260">
    <cfRule type="duplicateValues" dxfId="0" priority="131"/>
  </conditionalFormatting>
  <conditionalFormatting sqref="A276">
    <cfRule type="duplicateValues" dxfId="0" priority="129"/>
  </conditionalFormatting>
  <conditionalFormatting sqref="A320">
    <cfRule type="duplicateValues" dxfId="0" priority="124"/>
  </conditionalFormatting>
  <conditionalFormatting sqref="A351">
    <cfRule type="duplicateValues" dxfId="0" priority="121"/>
  </conditionalFormatting>
  <conditionalFormatting sqref="A400">
    <cfRule type="duplicateValues" dxfId="0" priority="115"/>
  </conditionalFormatting>
  <conditionalFormatting sqref="A428">
    <cfRule type="duplicateValues" dxfId="0" priority="111"/>
  </conditionalFormatting>
  <conditionalFormatting sqref="A449">
    <cfRule type="duplicateValues" dxfId="0" priority="108"/>
  </conditionalFormatting>
  <conditionalFormatting sqref="A567">
    <cfRule type="duplicateValues" dxfId="0" priority="95"/>
  </conditionalFormatting>
  <conditionalFormatting sqref="A571">
    <cfRule type="duplicateValues" dxfId="0" priority="94"/>
  </conditionalFormatting>
  <conditionalFormatting sqref="A583">
    <cfRule type="duplicateValues" dxfId="0" priority="92"/>
  </conditionalFormatting>
  <conditionalFormatting sqref="A618">
    <cfRule type="duplicateValues" dxfId="0" priority="89"/>
  </conditionalFormatting>
  <conditionalFormatting sqref="A656">
    <cfRule type="duplicateValues" dxfId="0" priority="83"/>
  </conditionalFormatting>
  <conditionalFormatting sqref="A696">
    <cfRule type="duplicateValues" dxfId="0" priority="75"/>
  </conditionalFormatting>
  <conditionalFormatting sqref="A699">
    <cfRule type="duplicateValues" dxfId="0" priority="73"/>
  </conditionalFormatting>
  <conditionalFormatting sqref="A702">
    <cfRule type="duplicateValues" dxfId="0" priority="70"/>
  </conditionalFormatting>
  <conditionalFormatting sqref="A703">
    <cfRule type="duplicateValues" dxfId="0" priority="69"/>
  </conditionalFormatting>
  <conditionalFormatting sqref="A704">
    <cfRule type="duplicateValues" dxfId="0" priority="68"/>
  </conditionalFormatting>
  <conditionalFormatting sqref="A705">
    <cfRule type="duplicateValues" dxfId="0" priority="67"/>
  </conditionalFormatting>
  <conditionalFormatting sqref="A709">
    <cfRule type="duplicateValues" dxfId="0" priority="72"/>
  </conditionalFormatting>
  <conditionalFormatting sqref="A710">
    <cfRule type="duplicateValues" dxfId="0" priority="71"/>
  </conditionalFormatting>
  <conditionalFormatting sqref="A711">
    <cfRule type="duplicateValues" dxfId="0" priority="63"/>
  </conditionalFormatting>
  <conditionalFormatting sqref="A712">
    <cfRule type="duplicateValues" dxfId="0" priority="62"/>
  </conditionalFormatting>
  <conditionalFormatting sqref="A713">
    <cfRule type="duplicateValues" dxfId="0" priority="61"/>
  </conditionalFormatting>
  <conditionalFormatting sqref="A714">
    <cfRule type="duplicateValues" dxfId="0" priority="60"/>
  </conditionalFormatting>
  <conditionalFormatting sqref="A717">
    <cfRule type="duplicateValues" dxfId="0" priority="58"/>
  </conditionalFormatting>
  <conditionalFormatting sqref="A718">
    <cfRule type="duplicateValues" dxfId="0" priority="57"/>
  </conditionalFormatting>
  <conditionalFormatting sqref="A722">
    <cfRule type="duplicateValues" dxfId="0" priority="55"/>
  </conditionalFormatting>
  <conditionalFormatting sqref="A725">
    <cfRule type="duplicateValues" dxfId="0" priority="64"/>
  </conditionalFormatting>
  <conditionalFormatting sqref="A727">
    <cfRule type="duplicateValues" dxfId="0" priority="54"/>
  </conditionalFormatting>
  <conditionalFormatting sqref="A782">
    <cfRule type="duplicateValues" dxfId="0" priority="50"/>
  </conditionalFormatting>
  <conditionalFormatting sqref="A793">
    <cfRule type="duplicateValues" dxfId="0" priority="47"/>
  </conditionalFormatting>
  <conditionalFormatting sqref="A801">
    <cfRule type="duplicateValues" dxfId="0" priority="45"/>
  </conditionalFormatting>
  <conditionalFormatting sqref="A815">
    <cfRule type="duplicateValues" dxfId="0" priority="42"/>
  </conditionalFormatting>
  <conditionalFormatting sqref="A827">
    <cfRule type="duplicateValues" dxfId="0" priority="39"/>
  </conditionalFormatting>
  <conditionalFormatting sqref="A832">
    <cfRule type="duplicateValues" dxfId="0" priority="38"/>
  </conditionalFormatting>
  <conditionalFormatting sqref="A833">
    <cfRule type="duplicateValues" dxfId="0" priority="37"/>
  </conditionalFormatting>
  <conditionalFormatting sqref="A834">
    <cfRule type="duplicateValues" dxfId="0" priority="36"/>
  </conditionalFormatting>
  <conditionalFormatting sqref="A835">
    <cfRule type="duplicateValues" dxfId="0" priority="35"/>
  </conditionalFormatting>
  <conditionalFormatting sqref="A836">
    <cfRule type="duplicateValues" dxfId="0" priority="34"/>
  </conditionalFormatting>
  <conditionalFormatting sqref="A837">
    <cfRule type="duplicateValues" dxfId="0" priority="33"/>
  </conditionalFormatting>
  <conditionalFormatting sqref="A838">
    <cfRule type="duplicateValues" dxfId="0" priority="32"/>
  </conditionalFormatting>
  <conditionalFormatting sqref="A839">
    <cfRule type="duplicateValues" dxfId="0" priority="31"/>
  </conditionalFormatting>
  <conditionalFormatting sqref="A840">
    <cfRule type="duplicateValues" dxfId="0" priority="30"/>
  </conditionalFormatting>
  <conditionalFormatting sqref="A841">
    <cfRule type="duplicateValues" dxfId="0" priority="29"/>
  </conditionalFormatting>
  <conditionalFormatting sqref="A842">
    <cfRule type="duplicateValues" dxfId="0" priority="28"/>
  </conditionalFormatting>
  <conditionalFormatting sqref="A843">
    <cfRule type="duplicateValues" dxfId="0" priority="27"/>
  </conditionalFormatting>
  <conditionalFormatting sqref="A844">
    <cfRule type="duplicateValues" dxfId="0" priority="26"/>
  </conditionalFormatting>
  <conditionalFormatting sqref="A845">
    <cfRule type="duplicateValues" dxfId="0" priority="25"/>
  </conditionalFormatting>
  <conditionalFormatting sqref="A846">
    <cfRule type="duplicateValues" dxfId="0" priority="24"/>
  </conditionalFormatting>
  <conditionalFormatting sqref="A847">
    <cfRule type="duplicateValues" dxfId="0" priority="23"/>
  </conditionalFormatting>
  <conditionalFormatting sqref="A848">
    <cfRule type="duplicateValues" dxfId="0" priority="22"/>
  </conditionalFormatting>
  <conditionalFormatting sqref="A849">
    <cfRule type="duplicateValues" dxfId="0" priority="21"/>
  </conditionalFormatting>
  <conditionalFormatting sqref="A850">
    <cfRule type="duplicateValues" dxfId="0" priority="20"/>
  </conditionalFormatting>
  <conditionalFormatting sqref="A851">
    <cfRule type="duplicateValues" dxfId="0" priority="19"/>
  </conditionalFormatting>
  <conditionalFormatting sqref="A852">
    <cfRule type="duplicateValues" dxfId="0" priority="18"/>
  </conditionalFormatting>
  <conditionalFormatting sqref="A853">
    <cfRule type="duplicateValues" dxfId="0" priority="17"/>
  </conditionalFormatting>
  <conditionalFormatting sqref="A854">
    <cfRule type="duplicateValues" dxfId="0" priority="16"/>
  </conditionalFormatting>
  <conditionalFormatting sqref="A855">
    <cfRule type="duplicateValues" dxfId="0" priority="15"/>
  </conditionalFormatting>
  <conditionalFormatting sqref="A856">
    <cfRule type="duplicateValues" dxfId="0" priority="14"/>
  </conditionalFormatting>
  <conditionalFormatting sqref="A857">
    <cfRule type="duplicateValues" dxfId="0" priority="13"/>
  </conditionalFormatting>
  <conditionalFormatting sqref="A858">
    <cfRule type="duplicateValues" dxfId="0" priority="12"/>
  </conditionalFormatting>
  <conditionalFormatting sqref="A859">
    <cfRule type="duplicateValues" dxfId="0" priority="11"/>
  </conditionalFormatting>
  <conditionalFormatting sqref="A860">
    <cfRule type="duplicateValues" dxfId="0" priority="10"/>
  </conditionalFormatting>
  <conditionalFormatting sqref="A861">
    <cfRule type="duplicateValues" dxfId="0" priority="9"/>
  </conditionalFormatting>
  <conditionalFormatting sqref="A862">
    <cfRule type="duplicateValues" dxfId="0" priority="8"/>
  </conditionalFormatting>
  <conditionalFormatting sqref="A863">
    <cfRule type="duplicateValues" dxfId="0" priority="7"/>
  </conditionalFormatting>
  <conditionalFormatting sqref="A864">
    <cfRule type="duplicateValues" dxfId="0" priority="6"/>
  </conditionalFormatting>
  <conditionalFormatting sqref="A865">
    <cfRule type="duplicateValues" dxfId="0" priority="5"/>
  </conditionalFormatting>
  <conditionalFormatting sqref="A866">
    <cfRule type="duplicateValues" dxfId="0" priority="4"/>
  </conditionalFormatting>
  <conditionalFormatting sqref="A867">
    <cfRule type="duplicateValues" dxfId="0" priority="3"/>
  </conditionalFormatting>
  <conditionalFormatting sqref="A868">
    <cfRule type="duplicateValues" dxfId="0" priority="2"/>
  </conditionalFormatting>
  <conditionalFormatting sqref="A869">
    <cfRule type="duplicateValues" dxfId="0" priority="1"/>
  </conditionalFormatting>
  <conditionalFormatting sqref="A20:A23">
    <cfRule type="duplicateValues" dxfId="0" priority="148"/>
  </conditionalFormatting>
  <conditionalFormatting sqref="A40:A42">
    <cfRule type="duplicateValues" dxfId="0" priority="147"/>
  </conditionalFormatting>
  <conditionalFormatting sqref="A74:A78">
    <cfRule type="duplicateValues" dxfId="0" priority="146"/>
  </conditionalFormatting>
  <conditionalFormatting sqref="A135:A139">
    <cfRule type="duplicateValues" dxfId="0" priority="144"/>
  </conditionalFormatting>
  <conditionalFormatting sqref="A164:A179">
    <cfRule type="duplicateValues" dxfId="0" priority="138"/>
  </conditionalFormatting>
  <conditionalFormatting sqref="A180:A181">
    <cfRule type="duplicateValues" dxfId="0" priority="137"/>
  </conditionalFormatting>
  <conditionalFormatting sqref="A208:A209">
    <cfRule type="duplicateValues" dxfId="0" priority="135"/>
  </conditionalFormatting>
  <conditionalFormatting sqref="A233:A234">
    <cfRule type="duplicateValues" dxfId="0" priority="134"/>
  </conditionalFormatting>
  <conditionalFormatting sqref="A249:A251">
    <cfRule type="duplicateValues" dxfId="0" priority="133"/>
  </conditionalFormatting>
  <conditionalFormatting sqref="A252:A257">
    <cfRule type="duplicateValues" dxfId="0" priority="132"/>
  </conditionalFormatting>
  <conditionalFormatting sqref="A261:A275">
    <cfRule type="duplicateValues" dxfId="0" priority="130"/>
  </conditionalFormatting>
  <conditionalFormatting sqref="A277:A285">
    <cfRule type="duplicateValues" dxfId="0" priority="128"/>
  </conditionalFormatting>
  <conditionalFormatting sqref="A286:A288">
    <cfRule type="duplicateValues" dxfId="0" priority="127"/>
  </conditionalFormatting>
  <conditionalFormatting sqref="A289:A306">
    <cfRule type="duplicateValues" dxfId="0" priority="126"/>
  </conditionalFormatting>
  <conditionalFormatting sqref="A307:A319">
    <cfRule type="duplicateValues" dxfId="0" priority="125"/>
  </conditionalFormatting>
  <conditionalFormatting sqref="A321:A337">
    <cfRule type="duplicateValues" dxfId="0" priority="123"/>
  </conditionalFormatting>
  <conditionalFormatting sqref="A338:A350">
    <cfRule type="duplicateValues" dxfId="0" priority="122"/>
  </conditionalFormatting>
  <conditionalFormatting sqref="A352:A367">
    <cfRule type="duplicateValues" dxfId="0" priority="120"/>
  </conditionalFormatting>
  <conditionalFormatting sqref="A368:A369">
    <cfRule type="duplicateValues" dxfId="0" priority="119"/>
  </conditionalFormatting>
  <conditionalFormatting sqref="A370:A381">
    <cfRule type="duplicateValues" dxfId="0" priority="118"/>
  </conditionalFormatting>
  <conditionalFormatting sqref="A382:A383">
    <cfRule type="duplicateValues" dxfId="0" priority="117"/>
  </conditionalFormatting>
  <conditionalFormatting sqref="A384:A399">
    <cfRule type="duplicateValues" dxfId="0" priority="116"/>
  </conditionalFormatting>
  <conditionalFormatting sqref="A401:A410">
    <cfRule type="duplicateValues" dxfId="0" priority="114"/>
  </conditionalFormatting>
  <conditionalFormatting sqref="A411:A413">
    <cfRule type="duplicateValues" dxfId="0" priority="113"/>
  </conditionalFormatting>
  <conditionalFormatting sqref="A414:A427">
    <cfRule type="duplicateValues" dxfId="0" priority="112"/>
  </conditionalFormatting>
  <conditionalFormatting sqref="A429:A444">
    <cfRule type="duplicateValues" dxfId="0" priority="110"/>
  </conditionalFormatting>
  <conditionalFormatting sqref="A445:A448">
    <cfRule type="duplicateValues" dxfId="0" priority="109"/>
  </conditionalFormatting>
  <conditionalFormatting sqref="A450:A458">
    <cfRule type="duplicateValues" dxfId="0" priority="107"/>
  </conditionalFormatting>
  <conditionalFormatting sqref="A459:A467">
    <cfRule type="duplicateValues" dxfId="0" priority="106"/>
  </conditionalFormatting>
  <conditionalFormatting sqref="A468:A473">
    <cfRule type="duplicateValues" dxfId="0" priority="105"/>
  </conditionalFormatting>
  <conditionalFormatting sqref="A474:A478">
    <cfRule type="duplicateValues" dxfId="0" priority="104"/>
  </conditionalFormatting>
  <conditionalFormatting sqref="A479:A485">
    <cfRule type="duplicateValues" dxfId="0" priority="103"/>
  </conditionalFormatting>
  <conditionalFormatting sqref="A486:A487">
    <cfRule type="duplicateValues" dxfId="0" priority="102"/>
  </conditionalFormatting>
  <conditionalFormatting sqref="A488:A494">
    <cfRule type="duplicateValues" dxfId="0" priority="101"/>
  </conditionalFormatting>
  <conditionalFormatting sqref="A495:A496">
    <cfRule type="duplicateValues" dxfId="0" priority="100"/>
  </conditionalFormatting>
  <conditionalFormatting sqref="A497:A502">
    <cfRule type="duplicateValues" dxfId="0" priority="99"/>
  </conditionalFormatting>
  <conditionalFormatting sqref="A557:A561">
    <cfRule type="duplicateValues" dxfId="0" priority="97"/>
  </conditionalFormatting>
  <conditionalFormatting sqref="A589:A600">
    <cfRule type="duplicateValues" dxfId="0" priority="91"/>
  </conditionalFormatting>
  <conditionalFormatting sqref="A601:A617">
    <cfRule type="duplicateValues" dxfId="0" priority="90"/>
  </conditionalFormatting>
  <conditionalFormatting sqref="A628:A629">
    <cfRule type="duplicateValues" dxfId="0" priority="87"/>
  </conditionalFormatting>
  <conditionalFormatting sqref="A638:A639">
    <cfRule type="duplicateValues" dxfId="0" priority="85"/>
  </conditionalFormatting>
  <conditionalFormatting sqref="A640:A655">
    <cfRule type="duplicateValues" dxfId="0" priority="84"/>
  </conditionalFormatting>
  <conditionalFormatting sqref="A657:A664">
    <cfRule type="duplicateValues" dxfId="0" priority="82"/>
  </conditionalFormatting>
  <conditionalFormatting sqref="A665:A666">
    <cfRule type="duplicateValues" dxfId="0" priority="81"/>
  </conditionalFormatting>
  <conditionalFormatting sqref="A686:A688">
    <cfRule type="duplicateValues" dxfId="0" priority="78"/>
  </conditionalFormatting>
  <conditionalFormatting sqref="A693:A695">
    <cfRule type="duplicateValues" dxfId="0" priority="76"/>
  </conditionalFormatting>
  <conditionalFormatting sqref="A697:A698">
    <cfRule type="duplicateValues" dxfId="0" priority="74"/>
  </conditionalFormatting>
  <conditionalFormatting sqref="A706:A708">
    <cfRule type="duplicateValues" dxfId="0" priority="66"/>
  </conditionalFormatting>
  <conditionalFormatting sqref="A715:A716">
    <cfRule type="duplicateValues" dxfId="0" priority="59"/>
  </conditionalFormatting>
  <conditionalFormatting sqref="A719:A721">
    <cfRule type="duplicateValues" dxfId="0" priority="56"/>
  </conditionalFormatting>
  <conditionalFormatting sqref="A723:A724">
    <cfRule type="duplicateValues" dxfId="0" priority="65"/>
  </conditionalFormatting>
  <conditionalFormatting sqref="A728:A738">
    <cfRule type="duplicateValues" dxfId="0" priority="53"/>
  </conditionalFormatting>
  <conditionalFormatting sqref="A759:A760">
    <cfRule type="duplicateValues" dxfId="0" priority="51"/>
  </conditionalFormatting>
  <conditionalFormatting sqref="A783:A785">
    <cfRule type="duplicateValues" dxfId="0" priority="49"/>
  </conditionalFormatting>
  <conditionalFormatting sqref="A786:A792">
    <cfRule type="duplicateValues" dxfId="0" priority="48"/>
  </conditionalFormatting>
  <conditionalFormatting sqref="A794:A800">
    <cfRule type="duplicateValues" dxfId="0" priority="46"/>
  </conditionalFormatting>
  <conditionalFormatting sqref="A802:A806">
    <cfRule type="duplicateValues" dxfId="0" priority="44"/>
  </conditionalFormatting>
  <conditionalFormatting sqref="A807:A814">
    <cfRule type="duplicateValues" dxfId="0" priority="43"/>
  </conditionalFormatting>
  <conditionalFormatting sqref="A816:A821">
    <cfRule type="duplicateValues" dxfId="0" priority="41"/>
  </conditionalFormatting>
  <conditionalFormatting sqref="A3:A19 A24:A39 A79:A104 A43:A73 A106:A134 A140:A150">
    <cfRule type="duplicateValues" dxfId="0" priority="149"/>
  </conditionalFormatting>
  <conditionalFormatting sqref="A151:A160 A192">
    <cfRule type="duplicateValues" dxfId="0" priority="143"/>
  </conditionalFormatting>
  <conditionalFormatting sqref="A182:A191 A210:A232 A194:A207 A235:A248 A258">
    <cfRule type="duplicateValues" dxfId="0" priority="136"/>
  </conditionalFormatting>
  <conditionalFormatting sqref="A503:A547 A554:A556">
    <cfRule type="duplicateValues" dxfId="0" priority="98"/>
  </conditionalFormatting>
  <conditionalFormatting sqref="A548:A553 A568:A570 A562:A566">
    <cfRule type="duplicateValues" dxfId="0" priority="96"/>
  </conditionalFormatting>
  <conditionalFormatting sqref="A572:A582 A584:A588">
    <cfRule type="duplicateValues" dxfId="0" priority="93"/>
  </conditionalFormatting>
  <conditionalFormatting sqref="A619:A627 A636">
    <cfRule type="duplicateValues" dxfId="0" priority="88"/>
  </conditionalFormatting>
  <conditionalFormatting sqref="A637 A630:A635">
    <cfRule type="duplicateValues" dxfId="0" priority="86"/>
  </conditionalFormatting>
  <conditionalFormatting sqref="A667:A674 A690">
    <cfRule type="duplicateValues" dxfId="0" priority="80"/>
  </conditionalFormatting>
  <conditionalFormatting sqref="A675:A685 A691">
    <cfRule type="duplicateValues" dxfId="0" priority="79"/>
  </conditionalFormatting>
  <conditionalFormatting sqref="A689 A692 A700:A701">
    <cfRule type="duplicateValues" dxfId="0" priority="77"/>
  </conditionalFormatting>
  <conditionalFormatting sqref="A739:A758 A761:A781">
    <cfRule type="duplicateValues" dxfId="0" priority="52"/>
  </conditionalFormatting>
  <conditionalFormatting sqref="A828:A831 A822:A826">
    <cfRule type="duplicateValues" dxfId="0" priority="40"/>
  </conditionalFormatting>
  <pageMargins left="0.751388888888889" right="0.357638888888889" top="0.60625" bottom="0.60625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OS003</dc:creator>
  <cp:lastModifiedBy>lenovo</cp:lastModifiedBy>
  <dcterms:created xsi:type="dcterms:W3CDTF">2023-08-13T01:22:00Z</dcterms:created>
  <dcterms:modified xsi:type="dcterms:W3CDTF">2023-08-13T08:33:31Z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E478611C4479431E9911E009426967E6_13</vt:lpwstr>
  </property>
  <property fmtid="{D5CDD505-2E9C-101B-9397-08002B2CF9AE}" pid="3" name="KSOProductBuildVer">
    <vt:lpwstr>2052-11.1.0.14309</vt:lpwstr>
  </property>
</Properties>
</file>